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7RdIpZDr5B+cBUOBwTvuhopZiQLxKv2UohoRMEIuJyTYfgEup/KcTAJWqliui8b9Ml1x5re0UjRCIKjDi7lX7w==" workbookSaltValue="Mr6Rf4ckNIrmUDcIUI6mx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C10" i="14" l="1"/>
  <c r="K10" i="14" s="1"/>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<sst xmlns="http://schemas.openxmlformats.org/spreadsheetml/2006/main" count="2094" uniqueCount="913">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</sst>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lLaB3o1W4TpVdoYCahjazKDZVym0iYhFew3B2Vu1tGdw89u4PWrEYQ9TNGJpw/ko9fKpiVL1mh6wXQEoqfAzg==" saltValue="olH55igDwfqsLBpK9zCN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37.45945945945946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291</v>
      </c>
      <c r="D16" s="229">
        <f>IF(ISNUMBER(IF(D_I="SI",Datos!I16,Datos!I16+Datos!AC16)),IF(D_I="SI",Datos!I16,Datos!I16+Datos!AC16)," - ")</f>
        <v>291</v>
      </c>
      <c r="E16" s="230">
        <f>IF(ISNUMBER(IF(D_I="SI",Datos!J16,Datos!J16+Datos!AD16)),IF(D_I="SI",Datos!J16,Datos!J16+Datos!AD16)," - ")</f>
        <v>226</v>
      </c>
      <c r="F16" s="230">
        <f>IF(ISNUMBER(IF(D_I="SI",Datos!K16,Datos!K16+Datos!AE16)),IF(D_I="SI",Datos!K16,Datos!K16+Datos!AE16)," - ")</f>
        <v>216</v>
      </c>
      <c r="G16" s="1189" t="str">
        <f>IF(Datos!E16&lt;&gt;"",Datos!E16,Datos!D16)</f>
        <v>04</v>
      </c>
      <c r="H16" s="231">
        <f>IF(ISNUMBER(IF(D_I="SI",Datos!L16,Datos!L16+Datos!AF16)),IF(D_I="SI",Datos!L16,Datos!L16+Datos!AF16)," - ")</f>
        <v>301</v>
      </c>
      <c r="I16" s="1199" t="str">
        <f>IF(ISNUMBER(Datos!AS16/Datos!BM16),Datos!AS16/Datos!BM16," - ")</f>
        <v xml:space="preserve"> - </v>
      </c>
      <c r="J16" s="1200">
        <f>IF(ISNUMBER(Datos!BY16/Datos!CN16),Datos!BY16/Datos!CN16," - ")</f>
        <v>0</v>
      </c>
      <c r="K16" s="234">
        <f t="shared" si="3"/>
        <v>3.4364261168384883E-2</v>
      </c>
      <c r="L16" s="1201">
        <f>IF(ISNUMBER(NºAsuntos!I16/NºAsuntos!G16),(NºAsuntos!I16/NºAsuntos!G16)*11," - ")</f>
        <v>15.328703703703704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10</v>
      </c>
      <c r="F17" s="230">
        <f>IF(ISNUMBER(IF(D_I="SI",Datos!K17,Datos!K17+Datos!AE17)),IF(D_I="SI",Datos!K17,Datos!K17+Datos!AE17)," - ")</f>
        <v>10</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7.6999999999999993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298</v>
      </c>
      <c r="D18" s="1206">
        <f>SUBTOTAL(9,D15:D17)</f>
        <v>298</v>
      </c>
      <c r="E18" s="1207">
        <f>SUBTOTAL(9,E15:E17)</f>
        <v>236</v>
      </c>
      <c r="F18" s="1207">
        <f>SUBTOTAL(9,F15:F17)</f>
        <v>226</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298</v>
      </c>
      <c r="D19" s="1228">
        <f>SUBTOTAL(9,D9:D18)</f>
        <v>298</v>
      </c>
      <c r="E19" s="1229">
        <f>SUBTOTAL(9,E9:E18)</f>
        <v>236</v>
      </c>
      <c r="F19" s="1229">
        <f>SUBTOTAL(9,F9:F18)</f>
        <v>226</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0X+5iUl8rlydjr7JRH9IU+9uzVXNEEKxX3rU2TzQTkiblHAULoi3oe6hj4+mp3GTLhssA+kfDjWRn1W1ag5UQ==" saltValue="XSOzQ6h8hLdYEzLR1aSCC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1l/QxprhsSF7uj8UCwFshHxR03t7Wj3pRvmnkI2eZPDbUwPyllLlA4J9ld/NJP4QtvpC0F0R1g1Z7vmCKquw==" saltValue="1d2bOmfLeXrc7kpCzkbZ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6</v>
      </c>
      <c r="T10" s="185">
        <v>0</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0</v>
      </c>
      <c r="BB10" s="130">
        <f t="shared" si="0"/>
        <v>6</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323</v>
      </c>
      <c r="J12" s="187">
        <v>160</v>
      </c>
      <c r="K12" s="187">
        <v>109</v>
      </c>
      <c r="L12" s="187">
        <v>374</v>
      </c>
      <c r="M12" s="187">
        <v>43</v>
      </c>
      <c r="N12" s="187">
        <v>1</v>
      </c>
      <c r="O12" s="185">
        <v>1</v>
      </c>
      <c r="P12" s="187">
        <v>44</v>
      </c>
      <c r="Q12" s="187">
        <v>14</v>
      </c>
      <c r="R12" s="187">
        <v>709</v>
      </c>
      <c r="S12" s="187">
        <v>411</v>
      </c>
      <c r="T12" s="187">
        <v>109</v>
      </c>
      <c r="U12" s="187">
        <v>141</v>
      </c>
      <c r="V12" s="187">
        <v>379</v>
      </c>
      <c r="W12" s="187">
        <v>45</v>
      </c>
      <c r="X12" s="193">
        <v>40</v>
      </c>
      <c r="Y12" s="195">
        <v>2</v>
      </c>
      <c r="Z12" s="185">
        <v>4</v>
      </c>
      <c r="AA12" s="185">
        <v>2</v>
      </c>
      <c r="AB12" s="185">
        <v>4</v>
      </c>
      <c r="AC12" s="187">
        <v>0</v>
      </c>
      <c r="AD12" s="187">
        <v>0</v>
      </c>
      <c r="AE12" s="187">
        <v>0</v>
      </c>
      <c r="AF12" s="193">
        <v>0</v>
      </c>
      <c r="AG12" s="206">
        <v>11</v>
      </c>
      <c r="AH12" s="187">
        <v>6</v>
      </c>
      <c r="AI12" s="187">
        <v>7</v>
      </c>
      <c r="AJ12" s="207">
        <v>10</v>
      </c>
      <c r="AK12" s="186">
        <v>0</v>
      </c>
      <c r="AL12" s="187">
        <v>0</v>
      </c>
      <c r="AM12" s="187">
        <v>0</v>
      </c>
      <c r="AN12" s="193">
        <v>0</v>
      </c>
      <c r="AO12" s="263">
        <v>1</v>
      </c>
      <c r="AP12" s="159">
        <v>1</v>
      </c>
      <c r="AQ12" s="159">
        <v>1</v>
      </c>
      <c r="AR12" s="158">
        <v>1</v>
      </c>
      <c r="AS12" s="349" t="s">
        <v>811</v>
      </c>
      <c r="AT12" s="207"/>
      <c r="AU12" s="206"/>
      <c r="AV12" s="207"/>
      <c r="AW12" s="206"/>
      <c r="AX12" s="207"/>
      <c r="AY12" s="127">
        <f t="shared" si="1"/>
        <v>422</v>
      </c>
      <c r="AZ12" s="128">
        <f t="shared" si="1"/>
        <v>115</v>
      </c>
      <c r="BA12" s="128">
        <f t="shared" si="1"/>
        <v>148</v>
      </c>
      <c r="BB12" s="128">
        <f t="shared" si="1"/>
        <v>389</v>
      </c>
      <c r="BC12" s="126">
        <f>IF(ISNUMBER(X12),X12," - ")</f>
        <v>40</v>
      </c>
      <c r="BD12" s="127">
        <f t="shared" si="2"/>
        <v>1.2869565217391303</v>
      </c>
      <c r="BE12" s="128">
        <f t="shared" si="3"/>
        <v>2.6283783783783785</v>
      </c>
      <c r="BF12" s="128">
        <f t="shared" si="4"/>
        <v>0.27027027027027029</v>
      </c>
      <c r="BG12" s="200">
        <f t="shared" si="5"/>
        <v>3.6283783783783785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323</v>
      </c>
      <c r="J13" s="188">
        <f t="shared" si="6"/>
        <v>160</v>
      </c>
      <c r="K13" s="188">
        <f t="shared" si="6"/>
        <v>109</v>
      </c>
      <c r="L13" s="188">
        <f t="shared" si="6"/>
        <v>374</v>
      </c>
      <c r="M13" s="188">
        <f t="shared" si="6"/>
        <v>43</v>
      </c>
      <c r="N13" s="188">
        <f t="shared" si="6"/>
        <v>1</v>
      </c>
      <c r="O13" s="188">
        <f t="shared" si="6"/>
        <v>1</v>
      </c>
      <c r="P13" s="188">
        <f t="shared" si="6"/>
        <v>44</v>
      </c>
      <c r="Q13" s="188">
        <f t="shared" si="6"/>
        <v>14</v>
      </c>
      <c r="R13" s="188">
        <f t="shared" si="6"/>
        <v>709</v>
      </c>
      <c r="S13" s="188">
        <f t="shared" si="6"/>
        <v>417</v>
      </c>
      <c r="T13" s="188">
        <f t="shared" si="6"/>
        <v>109</v>
      </c>
      <c r="U13" s="188">
        <f t="shared" si="6"/>
        <v>141</v>
      </c>
      <c r="V13" s="188">
        <f t="shared" si="6"/>
        <v>385</v>
      </c>
      <c r="W13" s="188">
        <f t="shared" si="6"/>
        <v>45</v>
      </c>
      <c r="X13" s="188">
        <f t="shared" si="6"/>
        <v>40</v>
      </c>
      <c r="Y13" s="188">
        <f t="shared" si="6"/>
        <v>2</v>
      </c>
      <c r="Z13" s="188">
        <f t="shared" si="6"/>
        <v>4</v>
      </c>
      <c r="AA13" s="188">
        <f t="shared" si="6"/>
        <v>2</v>
      </c>
      <c r="AB13" s="188">
        <f t="shared" si="6"/>
        <v>4</v>
      </c>
      <c r="AC13" s="188">
        <f t="shared" si="6"/>
        <v>0</v>
      </c>
      <c r="AD13" s="188">
        <f t="shared" si="6"/>
        <v>0</v>
      </c>
      <c r="AE13" s="188">
        <f t="shared" si="6"/>
        <v>0</v>
      </c>
      <c r="AF13" s="188">
        <f>SUBTOTAL(9,AF9:AF12)</f>
        <v>0</v>
      </c>
      <c r="AG13" s="188">
        <f t="shared" ref="AG13:AT13" si="7">SUBTOTAL(9,AG8:AG12)</f>
        <v>11</v>
      </c>
      <c r="AH13" s="188">
        <f t="shared" si="7"/>
        <v>6</v>
      </c>
      <c r="AI13" s="188">
        <f t="shared" si="7"/>
        <v>7</v>
      </c>
      <c r="AJ13" s="188">
        <f t="shared" si="7"/>
        <v>10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428</v>
      </c>
      <c r="AZ13" s="188">
        <f>SUBTOTAL(9,AZ8:AZ12)</f>
        <v>115</v>
      </c>
      <c r="BA13" s="188">
        <f>SUBTOTAL(9,BA8:BA12)</f>
        <v>148</v>
      </c>
      <c r="BB13" s="188">
        <f>SUBTOTAL(9,BB8:BB12)</f>
        <v>395</v>
      </c>
      <c r="BC13" s="188">
        <f>SUBTOTAL(9,BC8:BC12)</f>
        <v>40</v>
      </c>
      <c r="BD13" s="209">
        <f>IF(ISNUMBER(BA13/AZ13),BA13/AZ13," - ")</f>
        <v>1.2869565217391303</v>
      </c>
      <c r="BE13" s="210">
        <f>IF(ISNUMBER(BB13/BA13),BB13/BA13, " - ")</f>
        <v>2.6689189189189189</v>
      </c>
      <c r="BF13" s="210">
        <f>IF(ISNUMBER(BC13/BA13),BC13/BA13, " - ")</f>
        <v>0.27027027027027029</v>
      </c>
      <c r="BG13" s="211">
        <f>IF(ISNUMBER((AY13+AZ13)/BA13),(AY13+AZ13)/BA13," - ")</f>
        <v>3.6689189189189189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291</v>
      </c>
      <c r="J16" s="187">
        <v>226</v>
      </c>
      <c r="K16" s="187">
        <v>216</v>
      </c>
      <c r="L16" s="187">
        <v>301</v>
      </c>
      <c r="M16" s="187">
        <v>33</v>
      </c>
      <c r="N16" s="187">
        <v>44</v>
      </c>
      <c r="O16" s="185">
        <v>0</v>
      </c>
      <c r="P16" s="187">
        <v>7</v>
      </c>
      <c r="Q16" s="187">
        <v>6</v>
      </c>
      <c r="R16" s="187">
        <v>3</v>
      </c>
      <c r="S16" s="187">
        <v>280</v>
      </c>
      <c r="T16" s="187">
        <v>145</v>
      </c>
      <c r="U16" s="187">
        <v>172</v>
      </c>
      <c r="V16" s="187">
        <v>253</v>
      </c>
      <c r="W16" s="187">
        <v>14</v>
      </c>
      <c r="X16" s="193">
        <v>128</v>
      </c>
      <c r="Y16" s="206">
        <v>0</v>
      </c>
      <c r="Z16" s="187">
        <v>0</v>
      </c>
      <c r="AA16" s="187">
        <v>0</v>
      </c>
      <c r="AB16" s="187">
        <v>0</v>
      </c>
      <c r="AC16" s="187">
        <v>0</v>
      </c>
      <c r="AD16" s="187">
        <v>0</v>
      </c>
      <c r="AE16" s="187">
        <v>0</v>
      </c>
      <c r="AF16" s="193">
        <v>0</v>
      </c>
      <c r="AG16" s="206">
        <v>0</v>
      </c>
      <c r="AH16" s="187">
        <v>0</v>
      </c>
      <c r="AI16" s="187">
        <v>0</v>
      </c>
      <c r="AJ16" s="207">
        <v>0</v>
      </c>
      <c r="AK16" s="186">
        <v>0</v>
      </c>
      <c r="AL16" s="187">
        <v>4</v>
      </c>
      <c r="AM16" s="187">
        <v>4</v>
      </c>
      <c r="AN16" s="193">
        <v>0</v>
      </c>
      <c r="AO16" s="263">
        <v>1</v>
      </c>
      <c r="AP16" s="159">
        <v>1</v>
      </c>
      <c r="AQ16" s="159">
        <v>1</v>
      </c>
      <c r="AR16" s="159">
        <v>1</v>
      </c>
      <c r="AS16" s="349" t="s">
        <v>491</v>
      </c>
      <c r="AT16" s="207"/>
      <c r="AU16" s="206"/>
      <c r="AV16" s="207"/>
      <c r="AW16" s="206"/>
      <c r="AX16" s="207"/>
      <c r="AY16" s="127">
        <f t="shared" si="9"/>
        <v>280</v>
      </c>
      <c r="AZ16" s="128">
        <f t="shared" si="9"/>
        <v>145</v>
      </c>
      <c r="BA16" s="128">
        <f t="shared" si="9"/>
        <v>172</v>
      </c>
      <c r="BB16" s="128">
        <f t="shared" si="9"/>
        <v>253</v>
      </c>
      <c r="BC16" s="126">
        <f>IF(ISNUMBER(W16),W16," - ")</f>
        <v>14</v>
      </c>
      <c r="BD16" s="127">
        <f t="shared" ref="BD16" si="11">IF(ISNUMBER(BA16/AZ16),BA16/AZ16," - ")</f>
        <v>1.1862068965517241</v>
      </c>
      <c r="BE16" s="128">
        <f t="shared" ref="BE16" si="12">IF(ISNUMBER(BB16/BA16),BB16/BA16, " - ")</f>
        <v>1.4709302325581395</v>
      </c>
      <c r="BF16" s="128">
        <f t="shared" ref="BF16" si="13">IF(ISNUMBER(BC16/BA16),BC16/BA16, " - ")</f>
        <v>8.1395348837209308E-2</v>
      </c>
      <c r="BG16" s="200">
        <f t="shared" si="10"/>
        <v>2.4709302325581395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10</v>
      </c>
      <c r="K17" s="187">
        <v>10</v>
      </c>
      <c r="L17" s="187">
        <v>7</v>
      </c>
      <c r="M17" s="187">
        <v>0</v>
      </c>
      <c r="N17" s="187">
        <v>12</v>
      </c>
      <c r="O17" s="187">
        <v>0</v>
      </c>
      <c r="P17" s="187">
        <v>0</v>
      </c>
      <c r="Q17" s="187">
        <v>0</v>
      </c>
      <c r="R17" s="187">
        <v>0</v>
      </c>
      <c r="S17" s="187">
        <v>7</v>
      </c>
      <c r="T17" s="187">
        <v>0</v>
      </c>
      <c r="U17" s="187">
        <v>0</v>
      </c>
      <c r="V17" s="187">
        <v>7</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0</v>
      </c>
      <c r="BA17" s="130">
        <f t="shared" si="14"/>
        <v>0</v>
      </c>
      <c r="BB17" s="130">
        <f t="shared" si="14"/>
        <v>7</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298</v>
      </c>
      <c r="J18" s="188">
        <f t="shared" si="15"/>
        <v>236</v>
      </c>
      <c r="K18" s="188">
        <f t="shared" si="15"/>
        <v>226</v>
      </c>
      <c r="L18" s="188">
        <f t="shared" si="15"/>
        <v>308</v>
      </c>
      <c r="M18" s="188">
        <f t="shared" si="15"/>
        <v>33</v>
      </c>
      <c r="N18" s="188">
        <f t="shared" si="15"/>
        <v>56</v>
      </c>
      <c r="O18" s="188">
        <f t="shared" si="15"/>
        <v>0</v>
      </c>
      <c r="P18" s="188">
        <f t="shared" si="15"/>
        <v>7</v>
      </c>
      <c r="Q18" s="188">
        <f t="shared" si="15"/>
        <v>6</v>
      </c>
      <c r="R18" s="188">
        <f t="shared" si="15"/>
        <v>3</v>
      </c>
      <c r="S18" s="188">
        <f t="shared" si="15"/>
        <v>287</v>
      </c>
      <c r="T18" s="188">
        <f t="shared" si="15"/>
        <v>145</v>
      </c>
      <c r="U18" s="188">
        <f t="shared" si="15"/>
        <v>172</v>
      </c>
      <c r="V18" s="188">
        <f t="shared" si="15"/>
        <v>260</v>
      </c>
      <c r="W18" s="188">
        <f t="shared" si="15"/>
        <v>14</v>
      </c>
      <c r="X18" s="188">
        <f t="shared" si="15"/>
        <v>128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4</v>
      </c>
      <c r="AM18" s="188">
        <f t="shared" si="15"/>
        <v>4</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287</v>
      </c>
      <c r="AZ18" s="188">
        <f>SUBTOTAL(9,AZ14:AZ17)</f>
        <v>145</v>
      </c>
      <c r="BA18" s="188">
        <f>SUBTOTAL(9,BA14:BA17)</f>
        <v>172</v>
      </c>
      <c r="BB18" s="188">
        <f>SUBTOTAL(9,BB14:BB17)</f>
        <v>260</v>
      </c>
      <c r="BC18" s="188">
        <f>SUBTOTAL(9,BC14:BC17)</f>
        <v>14</v>
      </c>
      <c r="BD18" s="209">
        <f>IF(ISNUMBER(BA18/AZ18),BA18/AZ18," - ")</f>
        <v>1.1862068965517241</v>
      </c>
      <c r="BE18" s="210">
        <f>IF(ISNUMBER(BB18/BA18),BB18/BA18, " - ")</f>
        <v>1.5116279069767442</v>
      </c>
      <c r="BF18" s="210">
        <f>IF(ISNUMBER(BC18/BA18),BC18/BA18, " - ")</f>
        <v>8.1395348837209308E-2</v>
      </c>
      <c r="BG18" s="211">
        <f>IF(ISNUMBER((AY18+AZ18)/BA18),(AY18+AZ18)/BA18," - ")</f>
        <v>2.5116279069767442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621</v>
      </c>
      <c r="J19" s="135">
        <f t="shared" si="18"/>
        <v>396</v>
      </c>
      <c r="K19" s="135">
        <f t="shared" si="18"/>
        <v>335</v>
      </c>
      <c r="L19" s="135">
        <f t="shared" si="18"/>
        <v>682</v>
      </c>
      <c r="M19" s="135">
        <f t="shared" si="18"/>
        <v>76</v>
      </c>
      <c r="N19" s="135">
        <f t="shared" si="18"/>
        <v>57</v>
      </c>
      <c r="O19" s="135">
        <f t="shared" si="18"/>
        <v>1</v>
      </c>
      <c r="P19" s="135">
        <f t="shared" si="18"/>
        <v>51</v>
      </c>
      <c r="Q19" s="135">
        <f t="shared" si="18"/>
        <v>20</v>
      </c>
      <c r="R19" s="135">
        <f t="shared" si="18"/>
        <v>712</v>
      </c>
      <c r="S19" s="135">
        <f t="shared" si="18"/>
        <v>704</v>
      </c>
      <c r="T19" s="135">
        <f t="shared" si="18"/>
        <v>254</v>
      </c>
      <c r="U19" s="135">
        <f t="shared" si="18"/>
        <v>313</v>
      </c>
      <c r="V19" s="135">
        <f t="shared" si="18"/>
        <v>645</v>
      </c>
      <c r="W19" s="135">
        <f t="shared" si="18"/>
        <v>59</v>
      </c>
      <c r="X19" s="135">
        <f t="shared" si="18"/>
        <v>168</v>
      </c>
      <c r="Y19" s="135">
        <f t="shared" si="18"/>
        <v>2</v>
      </c>
      <c r="Z19" s="135">
        <f t="shared" si="18"/>
        <v>4</v>
      </c>
      <c r="AA19" s="135">
        <f t="shared" si="18"/>
        <v>2</v>
      </c>
      <c r="AB19" s="135">
        <f t="shared" si="18"/>
        <v>4</v>
      </c>
      <c r="AC19" s="135">
        <f t="shared" si="18"/>
        <v>0</v>
      </c>
      <c r="AD19" s="135">
        <f t="shared" si="18"/>
        <v>0</v>
      </c>
      <c r="AE19" s="135">
        <f t="shared" si="18"/>
        <v>0</v>
      </c>
      <c r="AF19" s="135">
        <f t="shared" si="18"/>
        <v>0</v>
      </c>
      <c r="AG19" s="135">
        <f t="shared" si="18"/>
        <v>11</v>
      </c>
      <c r="AH19" s="135">
        <f t="shared" si="18"/>
        <v>6</v>
      </c>
      <c r="AI19" s="135">
        <f t="shared" si="18"/>
        <v>7</v>
      </c>
      <c r="AJ19" s="135">
        <f t="shared" si="18"/>
        <v>10</v>
      </c>
      <c r="AK19" s="135">
        <f t="shared" si="18"/>
        <v>0</v>
      </c>
      <c r="AL19" s="135">
        <f t="shared" si="18"/>
        <v>4</v>
      </c>
      <c r="AM19" s="135">
        <f t="shared" si="18"/>
        <v>4</v>
      </c>
      <c r="AN19" s="214">
        <f t="shared" si="18"/>
        <v>0</v>
      </c>
      <c r="AO19" s="215">
        <v>2</v>
      </c>
      <c r="AP19" s="215">
        <v>1</v>
      </c>
      <c r="AQ19" s="215">
        <v>1</v>
      </c>
      <c r="AR19" s="215">
        <v>1</v>
      </c>
      <c r="AS19" s="157">
        <f t="shared" si="18"/>
        <v>0</v>
      </c>
      <c r="AT19" s="157">
        <f t="shared" si="18"/>
        <v>0</v>
      </c>
      <c r="AU19" s="215"/>
      <c r="AV19" s="216"/>
      <c r="AW19" s="215"/>
      <c r="AX19" s="216"/>
      <c r="AY19" s="134">
        <f>SUBTOTAL(9,AY9:AY18)</f>
        <v>715</v>
      </c>
      <c r="AZ19" s="135">
        <f>SUBTOTAL(9,AZ9:AZ18)</f>
        <v>260</v>
      </c>
      <c r="BA19" s="135">
        <f>SUBTOTAL(9,BA9:BA18)</f>
        <v>320</v>
      </c>
      <c r="BB19" s="135">
        <f>SUBTOTAL(9,BB9:BB18)</f>
        <v>655</v>
      </c>
      <c r="BC19" s="136">
        <f>SUBTOTAL(9,BC9:BC18)</f>
        <v>54</v>
      </c>
      <c r="BD19" s="217">
        <f>IF(ISNUMBER(BA19/AZ19),BA19/AZ19," - ")</f>
        <v>1.2307692307692308</v>
      </c>
      <c r="BE19" s="214">
        <f>IF(ISNUMBER(BB19/BA19),BB19/BA19, " - ")</f>
        <v>2.046875</v>
      </c>
      <c r="BF19" s="214">
        <f>IF(ISNUMBER(BC19/BA19),BC19/BA19, " - ")</f>
        <v>0.16875000000000001</v>
      </c>
      <c r="BG19" s="136">
        <f>IF(ISNUMBER((AY19+AZ19)/BA19),(AY19+AZ19)/BA19," - ")</f>
        <v>3.046875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5gEZk+JnLRf2wg3La+FhgUZUX2gROCG/SfErW8ldr6RVSUAerBATRaWVJxIvea/5p+GwrGqke7jhauLzC+BHg==" saltValue="CMv7pdApR4T6wkDUhXf+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bF4XUTPt2ZLtu7AKJwHvK2u4mnwwjvsxgWs+M0yKA4tOFW6yGfxxnOwGYX0KjlX1+UdQ2ouNmB7CiGaR0JLlw==" saltValue="m5Zwor/XNA85uJR8n20w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SEPULVEDA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v>
      </c>
      <c r="AI12" s="503" t="str">
        <f>IF(ISNUMBER(Datos!CD12),Datos!CD12,"-")</f>
        <v>-</v>
      </c>
      <c r="AJ12" s="503" t="str">
        <f>IF(ISNUMBER(Datos!EN12),Datos!EN12," - ")</f>
        <v xml:space="preserve"> - </v>
      </c>
      <c r="AK12" s="503"/>
      <c r="AL12" s="504"/>
      <c r="AM12" s="671">
        <f>IF(ISNUMBER(Datos!R12),Datos!R12," - ")</f>
        <v>709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0.67682926829268297</v>
      </c>
      <c r="BH12" s="669">
        <f>IF(ISNUMBER(((IF(J_V="SI",Datos!L12/Datos!K12,(Datos!L12+Datos!AB12)/(Datos!K12+Datos!AA12)))*11)/factor_trimestre),((IF(J_V="SI",Datos!L12/Datos!K12,(Datos!L12+Datos!AB12)/(Datos!K12+Datos!AA12)))*11)/factor_trimestre," - ")</f>
        <v>10.216216216216218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4.4182621502209134E-2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0</v>
      </c>
      <c r="AG13" s="1045">
        <f t="shared" si="1"/>
        <v>0</v>
      </c>
      <c r="AH13" s="1045">
        <f t="shared" si="1"/>
        <v>4</v>
      </c>
      <c r="AI13" s="1045">
        <f t="shared" si="1"/>
        <v>0</v>
      </c>
      <c r="AJ13" s="1045">
        <f t="shared" si="1"/>
        <v>0</v>
      </c>
      <c r="AK13" s="1045">
        <f t="shared" si="1"/>
        <v>0</v>
      </c>
      <c r="AL13" s="1045">
        <f t="shared" si="1"/>
        <v>0</v>
      </c>
      <c r="AM13" s="1045">
        <f t="shared" si="1"/>
        <v>709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1</v>
      </c>
      <c r="BE13" s="1045">
        <f t="shared" si="1"/>
        <v>0</v>
      </c>
      <c r="BF13" s="1045">
        <f t="shared" si="1"/>
        <v>0</v>
      </c>
      <c r="BG13" s="1045">
        <f>IF(ISNUMBER(Datos!K13/Datos!J13),Datos!K13/Datos!J13," - ")</f>
        <v>0.68125000000000002</v>
      </c>
      <c r="BH13" s="1049">
        <f>IF(ISNUMBER(((Datos!L13/Datos!K13)*11)/factor_trimestre),((Datos!L13/Datos!K13)*11)/factor_trimestre," - ")</f>
        <v>10.293577981651376</v>
      </c>
      <c r="BI13" s="1045">
        <f>IF(ISNUMBER('Resol  Asuntos'!D13/NºAsuntos!G13),'Resol  Asuntos'!D13/NºAsuntos!G13," - ")</f>
        <v>0.38738738738738737</v>
      </c>
      <c r="BJ13" s="1045" t="str">
        <f>IF(ISNUMBER(Datos!CI13/Datos!CJ13),Datos!CI13/Datos!CJ13," - ")</f>
        <v xml:space="preserve"> - </v>
      </c>
      <c r="BK13" s="1045">
        <f>SUBTOTAL(9,BK8:BK12)</f>
        <v>0</v>
      </c>
      <c r="BL13" s="1045" t="str">
        <f>IF(ISNUMBER((I13-AB13+L13)/(F13)),(I13-AB13+L13)/(F13)," - ")</f>
        <v xml:space="preserve"> - </v>
      </c>
      <c r="BM13" s="1050">
        <f>SUBTOTAL(9,BM9:BM12)</f>
        <v>4.4182621502209134E-2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291</v>
      </c>
      <c r="G16" s="650">
        <f>IF(ISNUMBER(IF(D_I="SI",Datos!I16,Datos!I16+Datos!AC16)),IF(D_I="SI",Datos!I16,Datos!I16+Datos!AC16)," - ")</f>
        <v>291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216</v>
      </c>
      <c r="AC16" s="230">
        <f>IF(ISNUMBER(Datos!Q16),Datos!Q16," - ")</f>
        <v>6</v>
      </c>
      <c r="AD16" s="343"/>
      <c r="AE16" s="515"/>
      <c r="AF16" s="648">
        <f>IF(ISNUMBER(IF(D_I="SI",Datos!L16,Datos!L16+Datos!AF16)),IF(D_I="SI",Datos!L16,Datos!L16+Datos!AF16)," - ")</f>
        <v>301</v>
      </c>
      <c r="AG16" s="343"/>
      <c r="AH16" s="343"/>
      <c r="AI16" s="343"/>
      <c r="AJ16" s="503"/>
      <c r="AK16" s="343"/>
      <c r="AL16" s="499"/>
      <c r="AM16" s="344">
        <f>IF(ISNUMBER(Datos!R16),Datos!R16," - ")</f>
        <v>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0.95575221238938057</v>
      </c>
      <c r="BH16" s="669">
        <f>IF(ISNUMBER(((IF(D_I="SI",Datos!L16/Datos!K16,(Datos!L16+Datos!AF16)/(Datos!K16+Datos!AE16)))*11)/factor_trimestre),((IF(D_I="SI",Datos!L16/Datos!K16,(Datos!L16+Datos!AF16)/(Datos!K16+Datos!AE16)))*11)/factor_trimestre," - ")</f>
        <v>4.1805555555555562</v>
      </c>
      <c r="BI16" s="247">
        <f>IF(ISNUMBER('Resol  Asuntos'!D16/NºAsuntos!G16),'Resol  Asuntos'!D16/NºAsuntos!G16," - ")</f>
        <v>0.15277777777777779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291</v>
      </c>
      <c r="G18" s="1044">
        <f>SUBTOTAL(9,G15:G17)</f>
        <v>298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226</v>
      </c>
      <c r="AC18" s="1045">
        <f t="shared" si="4"/>
        <v>6</v>
      </c>
      <c r="AD18" s="1045">
        <f t="shared" si="4"/>
        <v>0</v>
      </c>
      <c r="AE18" s="1045">
        <f t="shared" si="4"/>
        <v>0</v>
      </c>
      <c r="AF18" s="1045">
        <f t="shared" si="4"/>
        <v>308</v>
      </c>
      <c r="AG18" s="1045">
        <f t="shared" si="4"/>
        <v>0</v>
      </c>
      <c r="AH18" s="1045">
        <f t="shared" si="4"/>
        <v>0</v>
      </c>
      <c r="AI18" s="1045">
        <f t="shared" si="4"/>
        <v>0</v>
      </c>
      <c r="AJ18" s="1045">
        <f t="shared" si="4"/>
        <v>0</v>
      </c>
      <c r="AK18" s="1045">
        <f t="shared" si="4"/>
        <v>0</v>
      </c>
      <c r="AL18" s="1045">
        <f t="shared" si="4"/>
        <v>0</v>
      </c>
      <c r="AM18" s="1045">
        <f t="shared" si="4"/>
        <v>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v>
      </c>
      <c r="BD18" s="1045">
        <f t="shared" si="4"/>
        <v>56</v>
      </c>
      <c r="BE18" s="1045">
        <f t="shared" si="4"/>
        <v>0</v>
      </c>
      <c r="BF18" s="1045">
        <f t="shared" si="4"/>
        <v>0</v>
      </c>
      <c r="BG18" s="1045">
        <f>IF(ISNUMBER(Datos!K18/Datos!J18),Datos!K18/Datos!J18," - ")</f>
        <v>0.9576271186440678</v>
      </c>
      <c r="BH18" s="1049">
        <f>IF(ISNUMBER(((Datos!L18/Datos!K18)*11)/factor_trimestre),((Datos!L18/Datos!K18)*11)/factor_trimestre," - ")</f>
        <v>4.0884955752212386</v>
      </c>
      <c r="BI18" s="1045">
        <f>SUBTOTAL(9,BI15:BI17)</f>
        <v>0.15277777777777779</v>
      </c>
      <c r="BJ18" s="1045">
        <f>SUBTOTAL(9,BJ15:BJ17)</f>
        <v>0</v>
      </c>
      <c r="BK18" s="1045">
        <f>SUBTOTAL(9,BK15:BK17)</f>
        <v>0</v>
      </c>
      <c r="BL18" s="1045">
        <f>IF(ISNUMBER((I18-AB18+L18)/(F18)),(I18-AB18+L18)/(F18)," - ")</f>
        <v>-0.7766323024054983</v>
      </c>
      <c r="BM18" s="1051">
        <f>IF(ISNUMBER((Datos!P18-Datos!Q18)/(Datos!R18-Datos!P18+Datos!Q18)),(Datos!P18-Datos!Q18)/(Datos!R18-Datos!P18+Datos!Q18)," - ")</f>
        <v>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291</v>
      </c>
      <c r="G19" s="966">
        <f t="shared" si="6"/>
        <v>298</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226</v>
      </c>
      <c r="AC19" s="967">
        <f t="shared" si="7"/>
        <v>20</v>
      </c>
      <c r="AD19" s="967">
        <f t="shared" si="7"/>
        <v>0</v>
      </c>
      <c r="AE19" s="967">
        <f t="shared" si="7"/>
        <v>0</v>
      </c>
      <c r="AF19" s="974">
        <f t="shared" si="7"/>
        <v>308</v>
      </c>
      <c r="AG19" s="974">
        <f t="shared" si="7"/>
        <v>0</v>
      </c>
      <c r="AH19" s="974">
        <f t="shared" si="7"/>
        <v>4</v>
      </c>
      <c r="AI19" s="974">
        <f t="shared" si="7"/>
        <v>0</v>
      </c>
      <c r="AJ19" s="967">
        <f t="shared" si="7"/>
        <v>0</v>
      </c>
      <c r="AK19" s="974">
        <f t="shared" si="7"/>
        <v>0</v>
      </c>
      <c r="AL19" s="974">
        <f t="shared" si="7"/>
        <v>0</v>
      </c>
      <c r="AM19" s="974">
        <f t="shared" si="7"/>
        <v>712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76</v>
      </c>
      <c r="BD19" s="966">
        <f t="shared" si="7"/>
        <v>57</v>
      </c>
      <c r="BE19" s="966">
        <f t="shared" si="7"/>
        <v>0</v>
      </c>
      <c r="BF19" s="976">
        <f t="shared" si="7"/>
        <v>0</v>
      </c>
      <c r="BG19" s="1061">
        <f>IF(ISNUMBER(Datos!K19/Datos!J19),Datos!K19/Datos!J19," - ")</f>
        <v>0.84595959595959591</v>
      </c>
      <c r="BH19" s="1061">
        <f>IF(ISNUMBER(((Datos!L19/Datos!K19)*11)/factor_trimestre),((Datos!L19/Datos!K19)*11)/factor_trimestre," - ")</f>
        <v>6.107462686567164</v>
      </c>
      <c r="BI19" s="959">
        <f>IF(ISNUMBER(Datos!J19/Datos!I19),Datos!J19/Datos!I19," - ")</f>
        <v>0.6376811594202898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-0.7766323024054983</v>
      </c>
      <c r="BM19" s="1035">
        <f>IF(ISNUMBER((Datos!P19-Datos!Q19+R19)/(Datos!R19-Datos!P19+Datos!Q19-R19)),(Datos!P19-Datos!Q19+R19)/(Datos!R19-Datos!P19+Datos!Q19-R19)," - ")</f>
        <v>4.552129221732746E-2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168.00892833418109</v>
      </c>
      <c r="G21" s="600">
        <f>IF(ISNUMBER(STDEV(G8:G18)),STDEV(G8:G18),"-")</f>
        <v>160.07092178156532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119.34320257140747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20.126268075991305</v>
      </c>
      <c r="BD21" s="599"/>
      <c r="BE21" s="599">
        <f>IF(ISNUMBER(STDEV(BE8:BE18)),STDEV(BE8:BE18),"-")</f>
        <v>0</v>
      </c>
      <c r="BF21" s="604">
        <f>IF(ISNUMBER(STDEV(BF8:BF18)),STDEV(BF8:BF18),"-")</f>
        <v>0</v>
      </c>
      <c r="BG21" s="914">
        <f>IF(ISNUMBER(STDEV(BG8:BG18)),STDEV(BG8:BG18),"-")</f>
        <v>0.16096560006404609</v>
      </c>
      <c r="BH21" s="918">
        <f>IF(ISNUMBER(STDEV(BH8:BH18)),STDEV(BH8:BH18),"-")</f>
        <v>3.8154634219331287</v>
      </c>
      <c r="BI21" s="253">
        <f>IF(ISNUMBER(STDEV(BI8:BI18)),STDEV(BI8:BI18),"-")</f>
        <v>0.15990476971065329</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8Tg+0tcpXjJ23NluoSa4vtWeHBYg+bvfhIs+cAmDBEFq9DFIah0oPxRrZzazaofmL1880/N0ta/4e6fHCTB9A==" saltValue="1kIaMQOEMXznK2SHxPP2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SEPULVEDA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709</v>
      </c>
      <c r="AF12" s="619" t="str">
        <f>IF(ISNUMBER(Datos!BV12),Datos!BV12," - ")</f>
        <v xml:space="preserve"> - </v>
      </c>
      <c r="AG12" s="506" t="str">
        <f>IF(ISNUMBER(Datos!DV12),Datos!DV12," - ")</f>
        <v xml:space="preserve"> - </v>
      </c>
      <c r="AH12" s="507"/>
      <c r="AI12" s="508"/>
      <c r="AJ12" s="506">
        <f>IF(ISNUMBER(Datos!M12),Datos!M12," - ")</f>
        <v>43</v>
      </c>
      <c r="AK12" s="619">
        <f>IF(ISNUMBER(Datos!N12),Datos!N12," - ")</f>
        <v>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10.216216216216218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4.4182621502209134E-2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0</v>
      </c>
      <c r="AB13" s="1046">
        <f t="shared" si="2"/>
        <v>0</v>
      </c>
      <c r="AC13" s="1046">
        <f t="shared" si="2"/>
        <v>0</v>
      </c>
      <c r="AD13" s="1046">
        <f t="shared" si="2"/>
        <v>0</v>
      </c>
      <c r="AE13" s="1046">
        <f t="shared" si="2"/>
        <v>709</v>
      </c>
      <c r="AF13" s="1054">
        <f t="shared" si="2"/>
        <v>0</v>
      </c>
      <c r="AG13" s="1054">
        <f t="shared" si="2"/>
        <v>0</v>
      </c>
      <c r="AH13" s="1054">
        <f t="shared" si="2"/>
        <v>0</v>
      </c>
      <c r="AI13" s="1054">
        <f t="shared" si="2"/>
        <v>0</v>
      </c>
      <c r="AJ13" s="1054">
        <f t="shared" si="2"/>
        <v>43</v>
      </c>
      <c r="AK13" s="1054">
        <f t="shared" si="2"/>
        <v>1</v>
      </c>
      <c r="AL13" s="1054">
        <f t="shared" si="2"/>
        <v>0</v>
      </c>
      <c r="AM13" s="1054">
        <f t="shared" si="2"/>
        <v>0</v>
      </c>
      <c r="AN13" s="1054">
        <f t="shared" si="2"/>
        <v>0</v>
      </c>
      <c r="AO13" s="1050">
        <f>IF(ISNUMBER(((NºAsuntos!I13/NºAsuntos!G13)*11)/factor_trimestre),((NºAsuntos!I13/NºAsuntos!G13)*11)/factor_trimestre," - ")</f>
        <v>10.216216216216218</v>
      </c>
      <c r="AP13" s="1056" t="str">
        <f>IF(ISNUMBER(Datos!CI13/Datos!CJ13),Datos!CI13/Datos!CJ13," - ")</f>
        <v xml:space="preserve"> - </v>
      </c>
      <c r="AQ13" s="1074">
        <f t="shared" ref="AQ13:AV13" si="3">SUBTOTAL(9,AQ9:AQ12)</f>
        <v>0</v>
      </c>
      <c r="AR13" s="1074">
        <f t="shared" si="3"/>
        <v>4.4182621502209134E-2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291</v>
      </c>
      <c r="G16" s="506">
        <f>IF(ISNUMBER(IF(D_I="SI",Datos!I16,Datos!I16+Datos!AC16)),IF(D_I="SI",Datos!I16,Datos!I16+Datos!AC16)," - ")</f>
        <v>291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216</v>
      </c>
      <c r="Z16" s="703">
        <f>IF(ISNUMBER(Datos!Q16),Datos!Q16," - ")</f>
        <v>6</v>
      </c>
      <c r="AA16" s="505">
        <f>IF(ISNUMBER(IF(D_I="SI",Datos!L16,Datos!L16+Datos!AF16)),IF(D_I="SI",Datos!L16,Datos!L16+Datos!AF16)," - ")</f>
        <v>301</v>
      </c>
      <c r="AB16" s="503"/>
      <c r="AC16" s="503"/>
      <c r="AD16" s="516"/>
      <c r="AE16" s="516">
        <f>IF(ISNUMBER(Datos!R16),Datos!R16," - ")</f>
        <v>3</v>
      </c>
      <c r="AF16" s="619" t="str">
        <f>IF(ISNUMBER(Datos!BV16),Datos!BV16," - ")</f>
        <v xml:space="preserve"> - </v>
      </c>
      <c r="AG16" s="506"/>
      <c r="AH16" s="507"/>
      <c r="AI16" s="508"/>
      <c r="AJ16" s="506">
        <f>IF(ISNUMBER(Datos!M16),Datos!M16," - ")</f>
        <v>33</v>
      </c>
      <c r="AK16" s="619">
        <f>IF(ISNUMBER(Datos!N16),Datos!N16," - ")</f>
        <v>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4.1805555555555562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291</v>
      </c>
      <c r="G18" s="1044">
        <f>SUBTOTAL(9,G15:G17)</f>
        <v>298</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226</v>
      </c>
      <c r="Z18" s="1078">
        <f t="shared" si="5"/>
        <v>6</v>
      </c>
      <c r="AA18" s="1078">
        <f t="shared" si="5"/>
        <v>308</v>
      </c>
      <c r="AB18" s="1078">
        <f t="shared" si="5"/>
        <v>0</v>
      </c>
      <c r="AC18" s="1078">
        <f t="shared" si="5"/>
        <v>0</v>
      </c>
      <c r="AD18" s="1078">
        <f t="shared" si="5"/>
        <v>0</v>
      </c>
      <c r="AE18" s="1078">
        <f t="shared" si="5"/>
        <v>3</v>
      </c>
      <c r="AF18" s="1078">
        <f t="shared" si="5"/>
        <v>0</v>
      </c>
      <c r="AG18" s="1078">
        <f t="shared" si="5"/>
        <v>0</v>
      </c>
      <c r="AH18" s="1078">
        <f t="shared" si="5"/>
        <v>0</v>
      </c>
      <c r="AI18" s="1078">
        <f t="shared" si="5"/>
        <v>0</v>
      </c>
      <c r="AJ18" s="1078">
        <f t="shared" si="5"/>
        <v>33</v>
      </c>
      <c r="AK18" s="1078">
        <f t="shared" si="5"/>
        <v>56</v>
      </c>
      <c r="AL18" s="1078">
        <f t="shared" si="5"/>
        <v>0</v>
      </c>
      <c r="AM18" s="1078">
        <f t="shared" si="5"/>
        <v>0</v>
      </c>
      <c r="AN18" s="1078">
        <f t="shared" si="5"/>
        <v>0</v>
      </c>
      <c r="AO18" s="1080">
        <f>IF(ISNUMBER(((NºAsuntos!I18/NºAsuntos!G18)*11)/factor_trimestre),((NºAsuntos!I18/NºAsuntos!G18)*11)/factor_trimestre," - ")</f>
        <v>4.0884955752212386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291</v>
      </c>
      <c r="G19" s="966">
        <f t="shared" si="7"/>
        <v>298</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226</v>
      </c>
      <c r="Z19" s="973">
        <f t="shared" si="8"/>
        <v>20</v>
      </c>
      <c r="AA19" s="974">
        <f t="shared" si="8"/>
        <v>308</v>
      </c>
      <c r="AB19" s="974">
        <f t="shared" si="8"/>
        <v>0</v>
      </c>
      <c r="AC19" s="974">
        <f t="shared" si="8"/>
        <v>0</v>
      </c>
      <c r="AD19" s="975">
        <f t="shared" si="8"/>
        <v>0</v>
      </c>
      <c r="AE19" s="975">
        <f t="shared" si="8"/>
        <v>712</v>
      </c>
      <c r="AF19" s="976">
        <f t="shared" si="8"/>
        <v>0</v>
      </c>
      <c r="AG19" s="977">
        <f t="shared" si="8"/>
        <v>0</v>
      </c>
      <c r="AH19" s="978">
        <f t="shared" si="8"/>
        <v>0</v>
      </c>
      <c r="AI19" s="976">
        <f t="shared" si="8"/>
        <v>0</v>
      </c>
      <c r="AJ19" s="966">
        <f t="shared" si="8"/>
        <v>76</v>
      </c>
      <c r="AK19" s="966">
        <f t="shared" si="8"/>
        <v>57</v>
      </c>
      <c r="AL19" s="966">
        <f t="shared" si="8"/>
        <v>0</v>
      </c>
      <c r="AM19" s="979">
        <f t="shared" si="8"/>
        <v>0</v>
      </c>
      <c r="AN19" s="969">
        <f>IF(ISNUMBER(Datos!K19/Datos!J19),Datos!K19/Datos!J19," - ")</f>
        <v>0.84595959595959591</v>
      </c>
      <c r="AO19" s="969">
        <f>IF(ISNUMBER(FIND("06",Criterios!A8,1)),(IF(ISNUMBER(((Datos!R19/Datos!Q19)*11)/factor_trimestre),((Datos!R19/Datos!Q19)*11)/factor_trimestre," - ")),(IF(ISNUMBER(((Datos!L19/Datos!K19)*11)/factor_trimestre),((Datos!L19/Datos!K19)*11)/factor_trimestre," - ")))</f>
        <v>6.107462686567164</v>
      </c>
      <c r="AP19" s="980" t="str">
        <f>IF(ISNUMBER(Datos!CI19/Datos!CJ19),Datos!CI19/Datos!CJ19," - ")</f>
        <v xml:space="preserve"> - </v>
      </c>
      <c r="AQ19" s="980">
        <f>IF(OR(ISNUMBER(FIND("01",Criterios!A8,1)),ISNUMBER(FIND("02",Criterios!A8,1)),ISNUMBER(FIND("03",Criterios!A8,1)),ISNUMBER(FIND("04",Criterios!A8,1))),(J19-Y19+K19)/(F19-K19),(I19-Y19+K19)/(F19-K19))</f>
        <v>-0.7766323024054983</v>
      </c>
      <c r="AR19" s="980">
        <f>IF(ISNUMBER((Datos!P19-Datos!Q19+O19)/(Datos!R19-Datos!P19+Datos!Q19-O19)),(Datos!P19-Datos!Q19+O19)/(Datos!R19-Datos!P19+Datos!Q19-O19)," - ")</f>
        <v>4.552129221732746E-2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168.00892833418109</v>
      </c>
      <c r="G21" s="600">
        <f>IF(ISNUMBER(STDEV(G8:G18)),STDEV(G8:G18),"-")</f>
        <v>160.07092178156532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20.126268075991305</v>
      </c>
      <c r="AK21" s="256"/>
      <c r="AL21" s="256">
        <f>IF(ISNUMBER(STDEV(AL8:AL18)),STDEV(AL8:AL18),"-")</f>
        <v>0</v>
      </c>
      <c r="AM21" s="258">
        <f>IF(ISNUMBER(STDEV(AM8:AM18)),STDEV(AM8:AM18),"-")</f>
        <v>0</v>
      </c>
      <c r="AN21" s="586">
        <f>IF(ISNUMBER(STDEV(AN8:AN18)),STDEV(AN8:AN18),"-")</f>
        <v>0</v>
      </c>
      <c r="AO21" s="587">
        <f>IF(ISNUMBER(STDEV(AO8:AO18)),STDEV(AO8:AO18),"-")</f>
        <v>3.7946907132109859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Hg8iRB5P9ISRSufzWd2JQMTqaBuSVuriyJXd1rAwEdWrgG1ujXOxkSxFf3hxmcXeiU7EXIXKR+IhDxpOC2ydA==" saltValue="O0hRtkg+1H8J1UTo9N2H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tORcLA1qP4R6GknSfuWN/1Z0MMYGwNhFfXhChSUCkPMTLpIUYsIu9uQlKV+tm+meksaEtJq58lwwLgkbrLmQ==" saltValue="HQjH0ddOPAG1j+bkz5FE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IlXHur8yEa/mawaykHK8P+AtXP8RqDXMNUQTFH6RMhM+gZvFDEgIDkNVo1OCVX02I2PxZcTqyZHmfW1RF+CWQ==" saltValue="jdnX7Toq6nzqX3dqvL5I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SEPULVEDA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0.38738738738738737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0.27392424856776165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JPtkknQbH2R/SzTcD31eOB9R5lvohZ5yEWoJAX0dUclbB5WEkBGQcdL5A+uRQM/sybk6nOulOi1PIqeUrJcsw==" saltValue="UXL7si77+EEdfxMSYd51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mEwBBjoG8HLSbzG/tKOwvyoWV0LpuyyU/bn+vosnR56NVQVEM/yTlacJem7xReRc/7MdBBaHjeqHhqUZrwiUQ==" saltValue="OCp4yqoERxmVDsDJQ/D0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SEPULVEDA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325</v>
      </c>
      <c r="D12" s="415">
        <f>IF(ISNUMBER(C12/Datos!BH12),C12/Datos!BH12," - ")</f>
        <v>325</v>
      </c>
      <c r="E12" s="414">
        <f>IF(ISNUMBER(IF(J_V="SI",Datos!J12,Datos!J12+Datos!Z12)),IF(J_V="SI",Datos!J12,Datos!J12+Datos!Z12)," - ")</f>
        <v>164</v>
      </c>
      <c r="F12" s="415">
        <f>IF(ISNUMBER(E12/B12),E12/B12," - ")</f>
        <v>164</v>
      </c>
      <c r="G12" s="414">
        <f>IF(ISNUMBER(IF(J_V="SI",Datos!K12,Datos!K12+Datos!AA12)),IF(J_V="SI",Datos!K12,Datos!K12+Datos!AA12)," - ")</f>
        <v>111</v>
      </c>
      <c r="H12" s="415">
        <f>IF(ISNUMBER(G12/B12),G12/B12," - ")</f>
        <v>111</v>
      </c>
      <c r="I12" s="414">
        <f>IF(ISNUMBER(IF(J_V="SI",Datos!L12,Datos!L12+Datos!AB12)),IF(J_V="SI",Datos!L12,Datos!L12+Datos!AB12)," - ")</f>
        <v>378</v>
      </c>
      <c r="J12" s="415">
        <f>IF(ISNUMBER(I12/B12),I12/B12," - ")</f>
        <v>378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325</v>
      </c>
      <c r="D13" s="996" t="str">
        <f>IF(ISNUMBER(C13/Datos!BI13),C13/Datos!BI13," - ")</f>
        <v xml:space="preserve"> - </v>
      </c>
      <c r="E13" s="995">
        <f>SUBTOTAL(9,E8:E12)</f>
        <v>164</v>
      </c>
      <c r="F13" s="996">
        <f>IF(ISNUMBER(E13/B13),E13/B13," - ")</f>
        <v>164</v>
      </c>
      <c r="G13" s="995">
        <f>SUBTOTAL(9,G8:G12)</f>
        <v>111</v>
      </c>
      <c r="H13" s="996">
        <f>IF(ISNUMBER(G13/B13),G13/B13," - ")</f>
        <v>111</v>
      </c>
      <c r="I13" s="995">
        <f>SUBTOTAL(9,I8:I12)</f>
        <v>378</v>
      </c>
      <c r="J13" s="996">
        <f>IF(ISNUMBER(I13/B13),I13/B13," - ")</f>
        <v>378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291</v>
      </c>
      <c r="D16" s="415">
        <f>IF(ISNUMBER(C16/Datos!BH16),C16/Datos!BH16," - ")</f>
        <v>291</v>
      </c>
      <c r="E16" s="414">
        <f>IF(ISNUMBER(IF(D_I="SI",Datos!J16,Datos!J16+Datos!AD16)),IF(D_I="SI",Datos!J16,Datos!J16+Datos!AD16)," - ")</f>
        <v>226</v>
      </c>
      <c r="F16" s="415">
        <f>IF(ISNUMBER(E16/B16),E16/B16," - ")</f>
        <v>226</v>
      </c>
      <c r="G16" s="414">
        <f>IF(ISNUMBER(IF(D_I="SI",Datos!K16,Datos!K16+Datos!AE16)),IF(D_I="SI",Datos!K16,Datos!K16+Datos!AE16)," - ")</f>
        <v>216</v>
      </c>
      <c r="H16" s="415">
        <f>IF(ISNUMBER(G16/B16),G16/B16," - ")</f>
        <v>216</v>
      </c>
      <c r="I16" s="414">
        <f>IF(ISNUMBER(IF(D_I="SI",Datos!L16,Datos!L16+Datos!AF16)),IF(D_I="SI",Datos!L16,Datos!L16+Datos!AF16)," - ")</f>
        <v>301</v>
      </c>
      <c r="J16" s="415">
        <f>IF(ISNUMBER(I16/B16),I16/B16," - ")</f>
        <v>301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10</v>
      </c>
      <c r="F17" s="415">
        <f>IF(ISNUMBER(E17/B17),E17/B17," - ")</f>
        <v>10</v>
      </c>
      <c r="G17" s="414">
        <f>IF(ISNUMBER(IF(D_I="SI",Datos!K17,Datos!K17+Datos!AE17)),IF(D_I="SI",Datos!K17,Datos!K17+Datos!AE17)," - ")</f>
        <v>10</v>
      </c>
      <c r="H17" s="415">
        <f>IF(ISNUMBER(G17/B17),G17/B17," - ")</f>
        <v>10</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298</v>
      </c>
      <c r="D18" s="996" t="str">
        <f>IF(ISNUMBER(C18/Datos!BI18),C18/Datos!BI18," - ")</f>
        <v xml:space="preserve"> - </v>
      </c>
      <c r="E18" s="995">
        <f>SUBTOTAL(9,E14:E17)</f>
        <v>236</v>
      </c>
      <c r="F18" s="996">
        <f>IF(ISNUMBER(E18/B18),E18/B18," - ")</f>
        <v>236</v>
      </c>
      <c r="G18" s="995">
        <f>SUBTOTAL(9,G14:G17)</f>
        <v>226</v>
      </c>
      <c r="H18" s="996">
        <f>IF(ISNUMBER(G18/B18),G18/B18," - ")</f>
        <v>226</v>
      </c>
      <c r="I18" s="995">
        <f>SUBTOTAL(9,I14:I17)</f>
        <v>308</v>
      </c>
      <c r="J18" s="996">
        <f>IF(ISNUMBER(I18/B18),I18/B18," - ")</f>
        <v>308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623</v>
      </c>
      <c r="D19" s="941" t="str">
        <f>IF(ISNUMBER(C19/Datos!BI19),C19/Datos!BI19," - ")</f>
        <v xml:space="preserve"> - </v>
      </c>
      <c r="E19" s="940">
        <f>SUBTOTAL(9,E9:E18)</f>
        <v>400</v>
      </c>
      <c r="F19" s="941">
        <f>IF(ISNUMBER(E19/B19),E19/B19," - ")</f>
        <v>400</v>
      </c>
      <c r="G19" s="940">
        <f>SUBTOTAL(9,G9:G18)</f>
        <v>337</v>
      </c>
      <c r="H19" s="941">
        <f>IF(ISNUMBER(G19/B19),G19/B19," - ")</f>
        <v>337</v>
      </c>
      <c r="I19" s="940">
        <f>SUBTOTAL(9,I9:I18)</f>
        <v>686</v>
      </c>
      <c r="J19" s="941">
        <f>IF(ISNUMBER(I19/B19),I19/B19," - ")</f>
        <v>686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81A67mztYCAsIND4zIdI8Xuk5t0/Q4xKoNhV3A8+dPXL+qkJhqf4KKFLAD3/ZEIqGPork1Y9l8xkcvpw/x7ZaA==" saltValue="tm4AsH995CY0KynN+GD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SEPULVEDA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10.216216216216218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4.4182621502209134E-2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0</v>
      </c>
      <c r="AG13" s="1085">
        <f t="shared" si="1"/>
        <v>0</v>
      </c>
      <c r="AH13" s="1085">
        <f t="shared" si="1"/>
        <v>709</v>
      </c>
      <c r="AI13" s="1085">
        <f t="shared" si="1"/>
        <v>0</v>
      </c>
      <c r="AJ13" s="1085">
        <f t="shared" si="1"/>
        <v>0</v>
      </c>
      <c r="AK13" s="1085">
        <f t="shared" si="1"/>
        <v>0</v>
      </c>
      <c r="AL13" s="1085">
        <f t="shared" si="1"/>
        <v>43</v>
      </c>
      <c r="AM13" s="1085">
        <f t="shared" si="1"/>
        <v>1</v>
      </c>
      <c r="AN13" s="1085">
        <f t="shared" si="1"/>
        <v>0</v>
      </c>
      <c r="AO13" s="1085">
        <f t="shared" si="1"/>
        <v>0</v>
      </c>
      <c r="AP13" s="1090">
        <f>IF(ISNUMBER(((Datos!L13/Datos!K13)*11)/factor_trimestre),((Datos!L13/Datos!K13)*11)/factor_trimestre," - ")</f>
        <v>10.293577981651376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4.4182621502209134E-2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4.0884955752212386</v>
      </c>
      <c r="AQ18" s="1090">
        <f>IF(ISNUMBER(((Datos!M18/Datos!L18)*11)/factor_trimestre),((Datos!M18/Datos!L18)*11)/factor_trimestre," - ")</f>
        <v>0.32142857142857145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0.5</v>
      </c>
      <c r="AW18" s="1092">
        <f>IF(ISNUMBER((Datos!Q18-Datos!R18)/(Datos!S18-Datos!Q18+Datos!R18)),(Datos!Q18-Datos!R18)/(Datos!S18-Datos!Q18+Datos!R18)," - ")</f>
        <v>1.0563380281690141E-2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0</v>
      </c>
      <c r="AG19" s="1104">
        <f t="shared" si="5"/>
        <v>0</v>
      </c>
      <c r="AH19" s="1104">
        <f t="shared" si="5"/>
        <v>709</v>
      </c>
      <c r="AI19" s="1104">
        <f t="shared" si="5"/>
        <v>0</v>
      </c>
      <c r="AJ19" s="1105">
        <f t="shared" si="5"/>
        <v>0</v>
      </c>
      <c r="AK19" s="1105">
        <f t="shared" si="5"/>
        <v>0</v>
      </c>
      <c r="AL19" s="1097">
        <f t="shared" si="5"/>
        <v>43</v>
      </c>
      <c r="AM19" s="1097">
        <f t="shared" si="5"/>
        <v>1</v>
      </c>
      <c r="AN19" s="1097">
        <f t="shared" si="5"/>
        <v>0</v>
      </c>
      <c r="AO19" s="1097">
        <f t="shared" si="5"/>
        <v>0</v>
      </c>
      <c r="AP19" s="1097">
        <f>IF(ISNUMBER(((Datos!L19/Datos!K19)*11)/factor_trimestre),((Datos!L19/Datos!K19)*11)/factor_trimestre," - ")</f>
        <v>6.107462686567164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4.552129221732746E-2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3.5603837051507097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uuI4cWSp4WX/1mDUkGPSUBZurNjI10y3yNTf48MZpVX+hBRiDIAvF5TsX+UvGlGiAp2w/Bta+31KiCfzf077Q==" saltValue="cW95PrvJbup5xU3MCYZ+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SEPULVEDA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ckMDXsR0zIzd/VPIUI1FfcizC51Za+ZChiNNMcYmvCuGnFo1Myc6ZYagO5ZBovYpO1B6nTxWiGeww8nvBAL4A==" saltValue="5guyR2H6WVQzk/1ahyag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SEPULVEDA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43</v>
      </c>
      <c r="E12" s="415">
        <f t="shared" si="0"/>
        <v>43</v>
      </c>
      <c r="F12" s="414">
        <f>IF(ISNUMBER(Datos!N12),Datos!N12," - ")</f>
        <v>1</v>
      </c>
      <c r="G12" s="415">
        <f t="shared" si="1"/>
        <v>1</v>
      </c>
      <c r="H12" s="414">
        <f>IF(ISNUMBER(Datos!O12),Datos!O12," - ")</f>
        <v>1</v>
      </c>
      <c r="I12" s="415">
        <f t="shared" si="2"/>
        <v>1</v>
      </c>
    </row>
    <row r="13" spans="1:9" ht="14.25" thickTop="1" thickBot="1">
      <c r="A13" s="994" t="str">
        <f>Datos!A13</f>
        <v>TOTAL</v>
      </c>
      <c r="B13" s="995">
        <f>Datos!AO13</f>
        <v>2</v>
      </c>
      <c r="C13" s="997">
        <f>Datos!AR13</f>
        <v>1</v>
      </c>
      <c r="D13" s="995">
        <f>SUBTOTAL(9,D9:D12)</f>
        <v>43</v>
      </c>
      <c r="E13" s="996">
        <f t="shared" si="0"/>
        <v>21.5</v>
      </c>
      <c r="F13" s="995">
        <f>SUBTOTAL(9,F9:F12)</f>
        <v>1</v>
      </c>
      <c r="G13" s="996">
        <f t="shared" si="1"/>
        <v>0.5</v>
      </c>
      <c r="H13" s="995">
        <f>SUBTOTAL(9,H9:H12)</f>
        <v>1</v>
      </c>
      <c r="I13" s="996">
        <f>IF(ISNUMBER(H13/B13),H13/B13," - ")</f>
        <v>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33</v>
      </c>
      <c r="E16" s="415">
        <f t="shared" si="3"/>
        <v>33</v>
      </c>
      <c r="F16" s="414">
        <f>IF(ISNUMBER(Datos!N16),Datos!N16," - ")</f>
        <v>44</v>
      </c>
      <c r="G16" s="415">
        <f t="shared" si="4"/>
        <v>44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33</v>
      </c>
      <c r="E18" s="996">
        <f t="shared" si="3"/>
        <v>16.5</v>
      </c>
      <c r="F18" s="995">
        <f>SUBTOTAL(9,F15:F17)</f>
        <v>56</v>
      </c>
      <c r="G18" s="996">
        <f t="shared" si="4"/>
        <v>28</v>
      </c>
      <c r="H18" s="995">
        <f>SUBTOTAL(9,H15:H17)</f>
        <v>0</v>
      </c>
      <c r="I18" s="996">
        <f>IF(ISNUMBER(H18/B18),H18/B18," - ")</f>
        <v>0</v>
      </c>
    </row>
    <row r="19" spans="1:9" ht="14.25" thickTop="1" thickBot="1">
      <c r="A19" s="939" t="str">
        <f>Datos!A19</f>
        <v>TOTAL JURISDICCIONES</v>
      </c>
      <c r="B19" s="940">
        <f>Datos!AP19</f>
        <v>1</v>
      </c>
      <c r="C19" s="940">
        <f>Datos!AR19</f>
        <v>1</v>
      </c>
      <c r="D19" s="940">
        <f>SUBTOTAL(9,D8:D18)</f>
        <v>76</v>
      </c>
      <c r="E19" s="941">
        <f>IF(ISNUMBER(D19/B19),D19/B19," - ")</f>
        <v>76</v>
      </c>
      <c r="F19" s="940">
        <f>SUBTOTAL(9,F8:F18)</f>
        <v>57</v>
      </c>
      <c r="G19" s="941">
        <f>IF(ISNUMBER(F19/B19),F19/B19," - ")</f>
        <v>57</v>
      </c>
      <c r="H19" s="940">
        <f>SUBTOTAL(9,H8:H18)</f>
        <v>1</v>
      </c>
      <c r="I19" s="941">
        <f>IF(ISNUMBER(H19/B19),H19/B19," - ")</f>
        <v>1</v>
      </c>
    </row>
    <row r="22" spans="1:9">
      <c r="A22" s="402" t="str">
        <f>Criterios!A4</f>
        <v>Fecha Informe: 06 oct. 2023</v>
      </c>
    </row>
    <row r="27" spans="1:9">
      <c r="A27" s="425"/>
    </row>
  </sheetData>
  <sheetProtection algorithmName="SHA-512" hashValue="coY2mCCk9690Yp9l5FzmldIyd7DdF0zYOdPMKZTNWufn2XUrVyp/VOLH3DcGPAceGInySpebY3rPqJcamLSMng==" saltValue="kZpto+LH3+p0AKbqON7u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SEPULVEDA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44</v>
      </c>
      <c r="C12" s="450">
        <f>IF(ISNUMBER(Datos!Q12),Datos!Q12," - ")</f>
        <v>14</v>
      </c>
      <c r="D12" s="419">
        <f>IF(ISNUMBER(Datos!R12),Datos!R12," - ")</f>
        <v>709</v>
      </c>
    </row>
    <row r="13" spans="1:4" ht="14.25" thickTop="1" thickBot="1">
      <c r="A13" s="994" t="str">
        <f>Datos!A13</f>
        <v>TOTAL</v>
      </c>
      <c r="B13" s="995">
        <f>SUBTOTAL(9,B9:B12)</f>
        <v>44</v>
      </c>
      <c r="C13" s="999">
        <f>SUBTOTAL(9,C9:C12)</f>
        <v>14</v>
      </c>
      <c r="D13" s="997">
        <f>SUBTOTAL(9,D9:D12)</f>
        <v>709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6</v>
      </c>
      <c r="D16" s="419">
        <f>IF(ISNUMBER(Datos!R16),Datos!R16," - ")</f>
        <v>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6</v>
      </c>
      <c r="D18" s="997">
        <f>SUBTOTAL(9,D15:D17)</f>
        <v>3</v>
      </c>
    </row>
    <row r="19" spans="1:4" ht="16.5" customHeight="1" thickTop="1" thickBot="1">
      <c r="A19" s="939" t="str">
        <f>Datos!A19</f>
        <v>TOTAL JURISDICCIONES</v>
      </c>
      <c r="B19" s="944">
        <f>SUBTOTAL(9,B8:B18)</f>
        <v>51</v>
      </c>
      <c r="C19" s="945">
        <f>SUBTOTAL(9,C8:C18)</f>
        <v>20</v>
      </c>
      <c r="D19" s="946">
        <f>SUBTOTAL(9,D8:D18)</f>
        <v>712</v>
      </c>
    </row>
    <row r="20" spans="1:4" ht="7.5" customHeight="1"/>
    <row r="21" spans="1:4" ht="6" customHeight="1"/>
    <row r="22" spans="1:4">
      <c r="A22" s="402" t="str">
        <f>Criterios!A4</f>
        <v>Fecha Informe: 06 oct. 2023</v>
      </c>
    </row>
    <row r="27" spans="1:4">
      <c r="A27" s="425"/>
    </row>
  </sheetData>
  <sheetProtection algorithmName="SHA-512" hashValue="loUIq3zoNMP+D1k/319zcDNRPa+MKIlLekEJBEJ8m2ijKLzRPXWi8+cO+bzn4Ttf4wjp2LVPNt7eKQTgW8zvEQ==" saltValue="VvaT4AzFzvq67LVwOJd9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SEPULVEDA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-0.22985781990521326</v>
      </c>
      <c r="C12" s="472">
        <f>IF(ISNUMBER(
   IF(J_V="SI",(Datos!J12-Datos!T12)/Datos!T12,(Datos!J12+Datos!Z12-(Datos!T12+Datos!AH12))/(Datos!T12+Datos!AH12))
     ),IF(J_V="SI",(Datos!J12-Datos!T12)/Datos!T12,(Datos!J12+Datos!Z12-(Datos!T12+Datos!AH12))/(Datos!T12+Datos!AH12))," - ")</f>
        <v>0.42608695652173911</v>
      </c>
      <c r="D12" s="472">
        <f>IF(ISNUMBER(
   IF(J_V="SI",(Datos!K12-Datos!U12)/Datos!U12,(Datos!K12+Datos!AA12-(Datos!U12+Datos!AI12))/(Datos!U12+Datos!AI12))
     ),IF(J_V="SI",(Datos!K12-Datos!U12)/Datos!U12,(Datos!K12+Datos!AA12-(Datos!U12+Datos!AI12))/(Datos!U12+Datos!AI12))," - ")</f>
        <v>-0.25</v>
      </c>
      <c r="E12" s="472">
        <f>IF(ISNUMBER(
   IF(J_V="SI",(Datos!L12-Datos!V12)/Datos!V12,(Datos!L12+Datos!AB12-(Datos!V12+Datos!AJ12))/(Datos!V12+Datos!AJ12))
     ),IF(J_V="SI",(Datos!L12-Datos!V12)/Datos!V12,(Datos!L12+Datos!AB12-(Datos!V12+Datos!AJ12))/(Datos!V12+Datos!AJ12))," - ")</f>
        <v>-2.8277634961439587E-2</v>
      </c>
      <c r="F12" s="472">
        <f>IF(ISNUMBER((Datos!M12-Datos!W12)/Datos!W12),(Datos!M12-Datos!W12)/Datos!W12," - ")</f>
        <v>-4.4444444444444446E-2</v>
      </c>
      <c r="G12" s="473">
        <f>IF(ISNUMBER((Datos!N12-Datos!X12)/Datos!X12),(Datos!N12-Datos!X12)/Datos!X12," - ")</f>
        <v>-0.97499999999999998</v>
      </c>
      <c r="H12" s="471">
        <f>IF(ISNUMBER(((NºAsuntos!G12/NºAsuntos!E12)-Datos!BD12)/Datos!BD12),((NºAsuntos!G12/NºAsuntos!E12)-Datos!BD12)/Datos!BD12," - ")</f>
        <v>-0.47408536585365846</v>
      </c>
      <c r="I12" s="472">
        <f>IF(ISNUMBER(((NºAsuntos!I12/NºAsuntos!G12)-Datos!BE12)/Datos!BE12),((NºAsuntos!I12/NºAsuntos!G12)-Datos!BE12)/Datos!BE12," - ")</f>
        <v>0.29562982005141375</v>
      </c>
      <c r="J12" s="477">
        <f>IF(ISNUMBER((('Resol  Asuntos'!D12/NºAsuntos!G12)-Datos!BF12)/Datos!BF12),(('Resol  Asuntos'!D12/NºAsuntos!G12)-Datos!BF12)/Datos!BF12," - ")</f>
        <v>0.43333333333333318</v>
      </c>
      <c r="K12" s="478">
        <f>IF(ISNUMBER((((NºAsuntos!C12+NºAsuntos!E12)/NºAsuntos!G12)-Datos!BG12)/Datos!BG12),(((NºAsuntos!C12+NºAsuntos!E12)/NºAsuntos!G12)-Datos!BG12)/Datos!BG12," - ")</f>
        <v>0.21415270018621965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-0.24065420560747663</v>
      </c>
      <c r="C13" s="1001">
        <f>IF(ISNUMBER(
   IF(J_V="SI",(Datos!J13-Datos!T13)/Datos!T13,(Datos!J13+Datos!Z13-(Datos!T13+Datos!AH13))/(Datos!T13+Datos!AH13))
     ),IF(J_V="SI",(Datos!J13-Datos!T13)/Datos!T13,(Datos!J13+Datos!Z13-(Datos!T13+Datos!AH13))/(Datos!T13+Datos!AH13))," - ")</f>
        <v>0.42608695652173911</v>
      </c>
      <c r="D13" s="1001">
        <f>IF(ISNUMBER(
   IF(J_V="SI",(Datos!K13-Datos!U13)/Datos!U13,(Datos!K13+Datos!AA13-(Datos!U13+Datos!AI13))/(Datos!U13+Datos!AI13))
     ),IF(J_V="SI",(Datos!K13-Datos!U13)/Datos!U13,(Datos!K13+Datos!AA13-(Datos!U13+Datos!AI13))/(Datos!U13+Datos!AI13))," - ")</f>
        <v>-0.25</v>
      </c>
      <c r="E13" s="1001">
        <f>IF(ISNUMBER(
   IF(J_V="SI",(Datos!L13-Datos!V13)/Datos!V13,(Datos!L13+Datos!AB13-(Datos!V13+Datos!AJ13))/(Datos!V13+Datos!AJ13))
     ),IF(J_V="SI",(Datos!L13-Datos!V13)/Datos!V13,(Datos!L13+Datos!AB13-(Datos!V13+Datos!AJ13))/(Datos!V13+Datos!AJ13))," - ")</f>
        <v>-4.3037974683544304E-2</v>
      </c>
      <c r="F13" s="1002">
        <f>IF(ISNUMBER((Datos!M13-Datos!W13)/Datos!W13),(Datos!M13-Datos!W13)/Datos!W13," - ")</f>
        <v>-4.4444444444444446E-2</v>
      </c>
      <c r="G13" s="1003">
        <f>IF(ISNUMBER((Datos!N13-Datos!X13)/Datos!X13),(Datos!N13-Datos!X13)/Datos!X13," - ")</f>
        <v>-0.97499999999999998</v>
      </c>
      <c r="H13" s="1003">
        <f>IF(ISNUMBER(((NºAsuntos!G13/NºAsuntos!E13)-Datos!BD13)/Datos!BD13),((NºAsuntos!G13/NºAsuntos!E13)-Datos!BD13)/Datos!BD13," - ")</f>
        <v>-0.47408536585365846</v>
      </c>
      <c r="I13" s="1003">
        <f>IF(ISNUMBER(((NºAsuntos!I13/NºAsuntos!G13)-Datos!BE13)/Datos!BE13),((NºAsuntos!I13/NºAsuntos!G13)-Datos!BE13)/Datos!BE13," - ")</f>
        <v>0.27594936708860757</v>
      </c>
      <c r="J13" s="1003">
        <f>IF(ISNUMBER((('Resol  Asuntos'!D13/NºAsuntos!G13)-Datos!BF13)/Datos!BF13),(('Resol  Asuntos'!D13/NºAsuntos!G13)-Datos!BF13)/Datos!BF13," - ")</f>
        <v>0.43333333333333318</v>
      </c>
      <c r="K13" s="1003">
        <f>IF(ISNUMBER((((NºAsuntos!C13+NºAsuntos!E13)/NºAsuntos!G13)-Datos!BG13)/Datos!BG13),(((NºAsuntos!C13+NºAsuntos!E13)/NºAsuntos!G13)-Datos!BG13)/Datos!BG13," - ")</f>
        <v>0.20073664825046039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3.9285714285714285E-2</v>
      </c>
      <c r="C16" s="472">
        <f>IF(ISNUMBER(
   IF(D_I="SI",(Datos!J16-Datos!T16)/Datos!T16,(Datos!J16+Datos!AD16-(Datos!T16+Datos!AL16))/(Datos!T16+Datos!AL16))
     ),IF(D_I="SI",(Datos!J16-Datos!T16)/Datos!T16,(Datos!J16+Datos!AD16-(Datos!T16+Datos!AL16))/(Datos!T16+Datos!AL16))," - ")</f>
        <v>0.55862068965517242</v>
      </c>
      <c r="D16" s="472">
        <f>IF(ISNUMBER(
   IF(D_I="SI",(Datos!K16-Datos!U16)/Datos!U16,(Datos!K16+Datos!AE16-(Datos!U16+Datos!AM16))/(Datos!U16+Datos!AM16))
     ),IF(D_I="SI",(Datos!K16-Datos!U16)/Datos!U16,(Datos!K16+Datos!AE16-(Datos!U16+Datos!AM16))/(Datos!U16+Datos!AM16))," - ")</f>
        <v>0.2558139534883721</v>
      </c>
      <c r="E16" s="472">
        <f>IF(ISNUMBER(
   IF(D_I="SI",(Datos!L16-Datos!V16)/Datos!V16,(Datos!L16+Datos!AF16-(Datos!V16+Datos!AN16))/(Datos!V16+Datos!AN16))
     ),IF(D_I="SI",(Datos!L16-Datos!V16)/Datos!V16,(Datos!L16+Datos!AF16-(Datos!V16+Datos!AN16))/(Datos!V16+Datos!AN16))," - ")</f>
        <v>0.18972332015810275</v>
      </c>
      <c r="F16" s="472">
        <f>IF(ISNUMBER((Datos!M16-Datos!W16)/Datos!W16),(Datos!M16-Datos!W16)/Datos!W16," - ")</f>
        <v>1.3571428571428572</v>
      </c>
      <c r="G16" s="473">
        <f>IF(ISNUMBER((Datos!N16-Datos!X16)/Datos!X16),(Datos!N16-Datos!X16)/Datos!X16," - ")</f>
        <v>-0.65625</v>
      </c>
      <c r="H16" s="471">
        <f>IF(ISNUMBER(((NºAsuntos!G16/NºAsuntos!E16)-Datos!BD16)/Datos!BD16),((NºAsuntos!G16/NºAsuntos!E16)-Datos!BD16)/Datos!BD16," - ")</f>
        <v>-0.19427865816011516</v>
      </c>
      <c r="I16" s="472">
        <f>IF(ISNUMBER(((NºAsuntos!I16/NºAsuntos!G16)-Datos!BE16)/Datos!BE16),((NºAsuntos!I16/NºAsuntos!G16)-Datos!BE16)/Datos!BE16," - ")</f>
        <v>-5.2627726540769929E-2</v>
      </c>
      <c r="J16" s="477">
        <f>IF(ISNUMBER((('Resol  Asuntos'!D16/NºAsuntos!G16)-Datos!BF16)/Datos!BF16),(('Resol  Asuntos'!D16/NºAsuntos!G16)-Datos!BF16)/Datos!BF16," - ")</f>
        <v>0.87698412698412698</v>
      </c>
      <c r="K16" s="478">
        <f>IF(ISNUMBER((((NºAsuntos!C16+NºAsuntos!E16)/NºAsuntos!G16)-Datos!BG16)/Datos!BG16),(((NºAsuntos!C16+NºAsuntos!E16)/NºAsuntos!G16)-Datos!BG16)/Datos!BG16," - ")</f>
        <v>-3.1328976034858333E-2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3.8327526132404179E-2</v>
      </c>
      <c r="C18" s="1001">
        <f>IF(ISNUMBER(
   IF(Criterios!B14="SI",(Datos!J18-Datos!T18)/Datos!T18,(Datos!J18+Datos!AD18-(Datos!T18+Datos!AL18))/(Datos!T18+Datos!AL18))
     ),IF(Criterios!B14="SI",(Datos!J18-Datos!T18)/Datos!T18,(Datos!J18+Datos!AD18-(Datos!T18+Datos!AL18))/(Datos!T18+Datos!AL18))," - ")</f>
        <v>0.62758620689655176</v>
      </c>
      <c r="D18" s="1001">
        <f>IF(ISNUMBER(
   IF(Criterios!B14="SI",(Datos!K18-Datos!U18)/Datos!U18,(Datos!K18+Datos!AE18-(Datos!U18+Datos!AM18))/(Datos!U18+Datos!AM18))
     ),IF(Criterios!B14="SI",(Datos!K18-Datos!U18)/Datos!U18,(Datos!K18+Datos!AE18-(Datos!U18+Datos!AM18))/(Datos!U18+Datos!AM18))," - ")</f>
        <v>0.31395348837209303</v>
      </c>
      <c r="E18" s="1001">
        <f>IF(ISNUMBER(
   IF(Criterios!B14="SI",(Datos!L18-Datos!V18)/Datos!V18,(Datos!L18+Datos!AF18-(Datos!V18+Datos!AN18))/(Datos!V18+Datos!AN18))
     ),IF(Criterios!B14="SI",(Datos!L18-Datos!V18)/Datos!V18,(Datos!L18+Datos!AF18-(Datos!V18+Datos!AN18))/(Datos!V18+Datos!AN18))," - ")</f>
        <v>0.18461538461538463</v>
      </c>
      <c r="F18" s="1002">
        <f>IF(ISNUMBER((Datos!M18-Datos!W18)/Datos!W18),(Datos!M18-Datos!W18)/Datos!W18," - ")</f>
        <v>1.3571428571428572</v>
      </c>
      <c r="G18" s="1003">
        <f>IF(ISNUMBER((Datos!N18-Datos!X18)/Datos!X18),(Datos!N18-Datos!X18)/Datos!X18," - ")</f>
        <v>-0.5625</v>
      </c>
      <c r="H18" s="1003">
        <f>IF(ISNUMBER(((NºAsuntos!G18/NºAsuntos!E18)-Datos!BD18)/Datos!BD18),((NºAsuntos!G18/NºAsuntos!E18)-Datos!BD18)/Datos!BD18," - ")</f>
        <v>-0.19269806858494279</v>
      </c>
      <c r="I18" s="1003">
        <f>IF(ISNUMBER(((NºAsuntos!I18/NºAsuntos!G18)-Datos!BE18)/Datos!BE18),((NºAsuntos!I18/NºAsuntos!G18)-Datos!BE18)/Datos!BE18," - ")</f>
        <v>-9.843430905377816E-2</v>
      </c>
      <c r="J18" s="1003">
        <f>IF(ISNUMBER((('Resol  Asuntos'!D18/NºAsuntos!G18)-Datos!BF18)/Datos!BF18),(('Resol  Asuntos'!D18/NºAsuntos!G18)-Datos!BF18)/Datos!BF18," - ")</f>
        <v>0.79393173198482925</v>
      </c>
      <c r="K18" s="1003">
        <f>IF(ISNUMBER((((NºAsuntos!C18+NºAsuntos!E18)/NºAsuntos!G18)-Datos!BG18)/Datos!BG18),(((NºAsuntos!C18+NºAsuntos!E18)/NºAsuntos!G18)-Datos!BG18)/Datos!BG18," - ")</f>
        <v>-5.9242871189773894E-2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-0.12867132867132866</v>
      </c>
      <c r="C19" s="948">
        <f>IF(ISNUMBER(
   IF(J_V="SI",(Datos!J19-Datos!T19)/Datos!T19,(Datos!J19+Datos!Z19-(Datos!T19+Datos!AH19))/(Datos!T19+Datos!AH19))
     ),IF(J_V="SI",(Datos!J19-Datos!T19)/Datos!T19,(Datos!J19+Datos!Z19-(Datos!T19+Datos!AH19))/(Datos!T19+Datos!AH19))," - ")</f>
        <v>0.53846153846153844</v>
      </c>
      <c r="D19" s="948">
        <f>IF(ISNUMBER(
   IF(J_V="SI",(Datos!K19-Datos!U19)/Datos!U19,(Datos!K19+Datos!AA19-(Datos!U19+Datos!AI19))/(Datos!U19+Datos!AI19))
     ),IF(J_V="SI",(Datos!K19-Datos!U19)/Datos!U19,(Datos!K19+Datos!AA19-(Datos!U19+Datos!AI19))/(Datos!U19+Datos!AI19))," - ")</f>
        <v>5.3124999999999999E-2</v>
      </c>
      <c r="E19" s="948">
        <f>IF(ISNUMBER(
   IF(J_V="SI",(Datos!L19-Datos!V19)/Datos!V19,(Datos!L19+Datos!AB19-(Datos!V19+Datos!AJ19))/(Datos!V19+Datos!AJ19))
     ),IF(J_V="SI",(Datos!L19-Datos!V19)/Datos!V19,(Datos!L19+Datos!AB19-(Datos!V19+Datos!AJ19))/(Datos!V19+Datos!AJ19))," - ")</f>
        <v>4.732824427480916E-2</v>
      </c>
      <c r="F19" s="949">
        <f>IF(ISNUMBER((Datos!M19-Datos!W19)/Datos!W19),(Datos!M19-Datos!W19)/Datos!W19," - ")</f>
        <v>0.28813559322033899</v>
      </c>
      <c r="G19" s="950">
        <f>IF(ISNUMBER((Datos!N19-Datos!X19)/Datos!X19),(Datos!N19-Datos!X19)/Datos!X19," - ")</f>
        <v>-0.6607142857142857</v>
      </c>
      <c r="H19" s="951">
        <f>IF(ISNUMBER((Tasas!B19-Datos!BD19)/Datos!BD19),(Tasas!B19-Datos!BD19)/Datos!BD19," - ")</f>
        <v>-0.31546875000000002</v>
      </c>
      <c r="I19" s="952">
        <f>IF(ISNUMBER((Tasas!C19-Datos!BE19)/Datos!BE19),(Tasas!C19-Datos!BE19)/Datos!BE19," - ")</f>
        <v>-5.504337780596693E-3</v>
      </c>
      <c r="J19" s="953">
        <f>IF(ISNUMBER((Tasas!D19-Datos!BF19)/Datos!BF19),(Tasas!D19-Datos!BF19)/Datos!BF19," - ")</f>
        <v>0.33641059457083178</v>
      </c>
      <c r="K19" s="953">
        <f>IF(ISNUMBER((Tasas!E19-Datos!BG19)/Datos!BG19),(Tasas!E19-Datos!BG19)/Datos!BG19," - ")</f>
        <v>-3.6977858936316247E-3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qDGWseLu3adj+sOq/0vJ5UYEMWsQ70Mic0RnGKm636LFDc2+ydocovDVxME1X/H+zA2dgJpAEH8u1TcMk7w/A==" saltValue="WLkTNf7Dy4fxsprd66ms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SEPULVEDA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0.67682926829268297</v>
      </c>
      <c r="C12" s="459">
        <f>IF(ISNUMBER(NºAsuntos!I12/NºAsuntos!G12),NºAsuntos!I12/NºAsuntos!G12," - ")</f>
        <v>3.4054054054054053</v>
      </c>
      <c r="D12" s="460">
        <f>IF(ISNUMBER('Resol  Asuntos'!D12/NºAsuntos!G12),'Resol  Asuntos'!D12/NºAsuntos!G12," - ")</f>
        <v>0.38738738738738737</v>
      </c>
      <c r="E12" s="461">
        <f>IF(ISNUMBER((NºAsuntos!C12+NºAsuntos!E12)/NºAsuntos!G12),(NºAsuntos!C12+NºAsuntos!E12)/NºAsuntos!G12," - ")</f>
        <v>4.4054054054054053</v>
      </c>
      <c r="G12" s="479"/>
    </row>
    <row r="13" spans="1:7" ht="14.25" thickTop="1" thickBot="1">
      <c r="A13" s="994" t="str">
        <f>Datos!A13</f>
        <v>TOTAL</v>
      </c>
      <c r="B13" s="1004">
        <f>IF(ISNUMBER(NºAsuntos!G13/NºAsuntos!E13),NºAsuntos!G13/NºAsuntos!E13," - ")</f>
        <v>0.67682926829268297</v>
      </c>
      <c r="C13" s="1005">
        <f>IF(ISNUMBER(NºAsuntos!I13/NºAsuntos!G13),NºAsuntos!I13/NºAsuntos!G13," - ")</f>
        <v>3.4054054054054053</v>
      </c>
      <c r="D13" s="1006">
        <f>IF(ISNUMBER('Resol  Asuntos'!D13/NºAsuntos!G13),'Resol  Asuntos'!D13/NºAsuntos!G13," - ")</f>
        <v>0.38738738738738737</v>
      </c>
      <c r="E13" s="1007">
        <f>IF(ISNUMBER((NºAsuntos!C13+NºAsuntos!E13)/NºAsuntos!G13),(NºAsuntos!C13+NºAsuntos!E13)/NºAsuntos!G13," - ")</f>
        <v>4.4054054054054053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0.95575221238938057</v>
      </c>
      <c r="C16" s="459">
        <f>IF(ISNUMBER(NºAsuntos!I16/NºAsuntos!G16),NºAsuntos!I16/NºAsuntos!G16," - ")</f>
        <v>1.3935185185185186</v>
      </c>
      <c r="D16" s="460">
        <f>IF(ISNUMBER('Resol  Asuntos'!D16/NºAsuntos!G16),'Resol  Asuntos'!D16/NºAsuntos!G16," - ")</f>
        <v>0.15277777777777779</v>
      </c>
      <c r="E16" s="461">
        <f>IF(ISNUMBER((NºAsuntos!C16+NºAsuntos!E16)/NºAsuntos!G16),(NºAsuntos!C16+NºAsuntos!E16)/NºAsuntos!G16," - ")</f>
        <v>2.3935185185185186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0.7</v>
      </c>
      <c r="D17" s="460">
        <f>IF(ISNUMBER('Resol  Asuntos'!D17/NºAsuntos!G17),'Resol  Asuntos'!D17/NºAsuntos!G17," - ")</f>
        <v>0</v>
      </c>
      <c r="E17" s="461">
        <f>IF(ISNUMBER((NºAsuntos!C17+NºAsuntos!E17)/NºAsuntos!G17),(NºAsuntos!C17+NºAsuntos!E17)/NºAsuntos!G17," - ")</f>
        <v>1.7</v>
      </c>
      <c r="G17" s="479"/>
    </row>
    <row r="18" spans="1:7" ht="14.25" thickTop="1" thickBot="1">
      <c r="A18" s="994" t="str">
        <f>Datos!A18</f>
        <v>TOTAL</v>
      </c>
      <c r="B18" s="1004">
        <f>IF(ISNUMBER(NºAsuntos!G18/NºAsuntos!E18),NºAsuntos!G18/NºAsuntos!E18," - ")</f>
        <v>0.9576271186440678</v>
      </c>
      <c r="C18" s="1005">
        <f>IF(ISNUMBER(NºAsuntos!I18/NºAsuntos!G18),NºAsuntos!I18/NºAsuntos!G18," - ")</f>
        <v>1.3628318584070795</v>
      </c>
      <c r="D18" s="1008">
        <f>IF(ISNUMBER('Resol  Asuntos'!D18/NºAsuntos!G18),'Resol  Asuntos'!D18/NºAsuntos!G18," - ")</f>
        <v>0.14601769911504425</v>
      </c>
      <c r="E18" s="1007">
        <f>IF(ISNUMBER((NºAsuntos!C18+NºAsuntos!E18)/NºAsuntos!G18),(NºAsuntos!C18+NºAsuntos!E18)/NºAsuntos!G18," - ")</f>
        <v>2.3628318584070795</v>
      </c>
      <c r="G18" s="479"/>
    </row>
    <row r="19" spans="1:7" ht="15.75" customHeight="1" thickTop="1" thickBot="1">
      <c r="A19" s="939" t="str">
        <f>Datos!A19</f>
        <v>TOTAL JURISDICCIONES</v>
      </c>
      <c r="B19" s="954">
        <f>IF(ISNUMBER(NºAsuntos!G19/NºAsuntos!E19),NºAsuntos!G19/NºAsuntos!E19," - ")</f>
        <v>0.84250000000000003</v>
      </c>
      <c r="C19" s="955">
        <f>IF(ISNUMBER(NºAsuntos!I19/NºAsuntos!G19),NºAsuntos!I19/NºAsuntos!G19," - ")</f>
        <v>2.0356083086053411</v>
      </c>
      <c r="D19" s="956">
        <f>IF(ISNUMBER('Resol  Asuntos'!D19/NºAsuntos!G19),'Resol  Asuntos'!D19/NºAsuntos!G19," - ")</f>
        <v>0.22551928783382788</v>
      </c>
      <c r="E19" s="957">
        <f>IF(ISNUMBER((NºAsuntos!C19+NºAsuntos!E19)/NºAsuntos!G19),(NºAsuntos!C19+NºAsuntos!E19)/NºAsuntos!G19," - ")</f>
        <v>3.0356083086053411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k/7cSHN5wz9TASDlXK8hZNN7SwlxxX3w0e73nuuc9bt2SRi2oKJh17xckuBdDXILin0+JRlLxkdQMqBIn9ypA==" saltValue="wAfLaZWahW7IywvyzcLw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SEPULVEDA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0.67682926829268297</v>
      </c>
      <c r="AM12" s="264">
        <f>IF(ISNUMBER(((NºAsuntos!I12/NºAsuntos!G12)*11)/factor_trimestre),((NºAsuntos!I12/NºAsuntos!G12)*11)/factor_trimestre," - ")</f>
        <v>10.216216216216218</v>
      </c>
      <c r="AN12" s="248">
        <f>IF(ISNUMBER('Resol  Asuntos'!D12/NºAsuntos!G12),'Resol  Asuntos'!D12/NºAsuntos!G12," - ")</f>
        <v>0.38738738738738737</v>
      </c>
      <c r="AO12" s="249">
        <f>IF(ISNUMBER((NºAsuntos!C12+NºAsuntos!E12)/NºAsuntos!G12),(NºAsuntos!C12+NºAsuntos!E12)/NºAsuntos!G12," - ")</f>
        <v>4.4054054054054053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0</v>
      </c>
      <c r="AB13" s="1014">
        <f t="shared" si="4"/>
        <v>709</v>
      </c>
      <c r="AC13" s="1014">
        <f t="shared" si="4"/>
        <v>0</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0.67682926829268297</v>
      </c>
      <c r="AM13" s="1020">
        <f>IF(ISNUMBER(((NºAsuntos!I13/NºAsuntos!G13)*11)/factor_trimestre),((NºAsuntos!I13/NºAsuntos!G13)*11)/factor_trimestre," - ")</f>
        <v>10.216216216216218</v>
      </c>
      <c r="AN13" s="1021">
        <f>IF(ISNUMBER('Resol  Asuntos'!D13/NºAsuntos!G13),'Resol  Asuntos'!D13/NºAsuntos!G13," - ")</f>
        <v>0.38738738738738737</v>
      </c>
      <c r="AO13" s="1022">
        <f>IF(ISNUMBER((NºAsuntos!C13+NºAsuntos!E13)/NºAsuntos!G13),(NºAsuntos!C13+NºAsuntos!E13)/NºAsuntos!G13," - ")</f>
        <v>4.4054054054054053</v>
      </c>
      <c r="AP13" s="1023" t="str">
        <f t="shared" si="2"/>
        <v xml:space="preserve"> - </v>
      </c>
      <c r="AQ13" s="1023" t="str">
        <f>IF(ISNUMBER((H13-W13+K13)/(F13)),(H13-W13+K13)/(F13)," - ")</f>
        <v xml:space="preserve"> - </v>
      </c>
      <c r="AR13" s="1024">
        <f>IF(ISNUMBER((Datos!P13-Datos!Q13)/(Datos!R13-Datos!P13+Datos!Q13)),(Datos!P13-Datos!Q13)/(Datos!R13-Datos!P13+Datos!Q13)," - ")</f>
        <v>4.4182621502209134E-2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291</v>
      </c>
      <c r="G16" s="342">
        <f>IF(ISNUMBER(IF(D_I="SI",Datos!I16,Datos!I16+Datos!AC16)),IF(D_I="SI",Datos!I16,Datos!I16+Datos!AC16)," - ")</f>
        <v>291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216</v>
      </c>
      <c r="X16" s="230">
        <f>IF(ISNUMBER(Datos!Q16),Datos!Q16," - ")</f>
        <v>6</v>
      </c>
      <c r="Y16" s="343">
        <f t="shared" ref="Y16:Y17" si="7">SUM(W16:X16)</f>
        <v>222</v>
      </c>
      <c r="Z16" s="344" t="str">
        <f>IF(ISNUMBER(Datos!CC16),Datos!CC16," - ")</f>
        <v xml:space="preserve"> - </v>
      </c>
      <c r="AA16" s="341">
        <f>IF(ISNUMBER(IF(D_I="SI",Datos!L16,Datos!L16+Datos!AF16)),IF(D_I="SI",Datos!L16,Datos!L16+Datos!AF16)," - ")</f>
        <v>301</v>
      </c>
      <c r="AB16" s="343">
        <f>IF(ISNUMBER(Datos!R16),Datos!R16," - ")</f>
        <v>3</v>
      </c>
      <c r="AC16" s="343">
        <f t="shared" si="6"/>
        <v>304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0.95575221238938057</v>
      </c>
      <c r="AM16" s="264">
        <f>IF(ISNUMBER(((NºAsuntos!I16/NºAsuntos!G16)*11)/factor_trimestre),((NºAsuntos!I16/NºAsuntos!G16)*11)/factor_trimestre," - ")</f>
        <v>4.1805555555555562</v>
      </c>
      <c r="AN16" s="248">
        <f>IF(ISNUMBER('Resol  Asuntos'!D16/NºAsuntos!G16),'Resol  Asuntos'!D16/NºAsuntos!G16," - ")</f>
        <v>0.15277777777777779</v>
      </c>
      <c r="AO16" s="249">
        <f>IF(ISNUMBER((NºAsuntos!C16+NºAsuntos!E16)/NºAsuntos!G16),(NºAsuntos!C16+NºAsuntos!E16)/NºAsuntos!G16," - ")</f>
        <v>2.3935185185185186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2.1</v>
      </c>
      <c r="AN17" s="248">
        <f>IF(ISNUMBER('Resol  Asuntos'!D17/NºAsuntos!G17),'Resol  Asuntos'!D17/NºAsuntos!G17," - ")</f>
        <v>0</v>
      </c>
      <c r="AO17" s="249">
        <f>IF(ISNUMBER((NºAsuntos!C17+NºAsuntos!E17)/NºAsuntos!G17),(NºAsuntos!C17+NºAsuntos!E17)/NºAsuntos!G17," - ")</f>
        <v>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291</v>
      </c>
      <c r="G18" s="1012">
        <f>SUBTOTAL(9,G15:G17)</f>
        <v>298</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226</v>
      </c>
      <c r="X18" s="1013">
        <f t="shared" si="11"/>
        <v>6</v>
      </c>
      <c r="Y18" s="1014">
        <f t="shared" si="11"/>
        <v>232</v>
      </c>
      <c r="Z18" s="1014">
        <f t="shared" si="11"/>
        <v>0</v>
      </c>
      <c r="AA18" s="1014">
        <f t="shared" si="11"/>
        <v>308</v>
      </c>
      <c r="AB18" s="1014">
        <f t="shared" si="11"/>
        <v>3</v>
      </c>
      <c r="AC18" s="1014">
        <f t="shared" si="11"/>
        <v>311</v>
      </c>
      <c r="AD18" s="1014">
        <f t="shared" si="11"/>
        <v>0</v>
      </c>
      <c r="AE18" s="1018">
        <f t="shared" si="11"/>
        <v>0</v>
      </c>
      <c r="AF18" s="1011">
        <f t="shared" si="11"/>
        <v>0</v>
      </c>
      <c r="AG18" s="1019">
        <f t="shared" si="11"/>
        <v>0</v>
      </c>
      <c r="AH18" s="1016">
        <f t="shared" si="11"/>
        <v>0</v>
      </c>
      <c r="AI18" s="1011">
        <f t="shared" si="11"/>
        <v>33</v>
      </c>
      <c r="AJ18" s="1013">
        <f t="shared" si="11"/>
        <v>0</v>
      </c>
      <c r="AK18" s="1016">
        <f t="shared" si="11"/>
        <v>0</v>
      </c>
      <c r="AL18" s="1020">
        <f>IF(ISNUMBER(NºAsuntos!G18/NºAsuntos!E18),NºAsuntos!G18/NºAsuntos!E18," - ")</f>
        <v>0.9576271186440678</v>
      </c>
      <c r="AM18" s="1020">
        <f>IF(ISNUMBER(((NºAsuntos!I18/NºAsuntos!G18)*11)/factor_trimestre),((NºAsuntos!I18/NºAsuntos!G18)*11)/factor_trimestre," - ")</f>
        <v>4.0884955752212386</v>
      </c>
      <c r="AN18" s="1021">
        <f>IF(ISNUMBER('Resol  Asuntos'!D18/NºAsuntos!G18),'Resol  Asuntos'!D18/NºAsuntos!G18," - ")</f>
        <v>0.14601769911504425</v>
      </c>
      <c r="AO18" s="1022">
        <f>IF(ISNUMBER((NºAsuntos!C18+NºAsuntos!E18)/NºAsuntos!G18),(NºAsuntos!C18+NºAsuntos!E18)/NºAsuntos!G18," - ")</f>
        <v>2.3628318584070795</v>
      </c>
      <c r="AP18" s="1023" t="str">
        <f t="shared" si="2"/>
        <v xml:space="preserve"> - </v>
      </c>
      <c r="AQ18" s="1023">
        <f>IF(ISNUMBER((H18-W18+K18)/(F18)),(H18-W18+K18)/(F18)," - ")</f>
        <v>-0.7766323024054983</v>
      </c>
      <c r="AR18" s="1024">
        <f>IF(ISNUMBER((Datos!P18-Datos!Q18)/(Datos!R18-Datos!P18+Datos!Q18)),(Datos!P18-Datos!Q18)/(Datos!R18-Datos!P18+Datos!Q18)," - ")</f>
        <v>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291</v>
      </c>
      <c r="G19" s="967">
        <f t="shared" si="13"/>
        <v>298</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226</v>
      </c>
      <c r="X19" s="967">
        <f t="shared" si="14"/>
        <v>20</v>
      </c>
      <c r="Y19" s="974">
        <f t="shared" si="14"/>
        <v>246</v>
      </c>
      <c r="Z19" s="974">
        <f t="shared" si="14"/>
        <v>0</v>
      </c>
      <c r="AA19" s="974">
        <f t="shared" si="14"/>
        <v>308</v>
      </c>
      <c r="AB19" s="974">
        <f t="shared" si="14"/>
        <v>712</v>
      </c>
      <c r="AC19" s="974">
        <f t="shared" si="14"/>
        <v>311</v>
      </c>
      <c r="AD19" s="974">
        <f t="shared" si="14"/>
        <v>0</v>
      </c>
      <c r="AE19" s="976">
        <f t="shared" si="14"/>
        <v>0</v>
      </c>
      <c r="AF19" s="977">
        <f t="shared" si="14"/>
        <v>0</v>
      </c>
      <c r="AG19" s="978">
        <f t="shared" si="14"/>
        <v>0</v>
      </c>
      <c r="AH19" s="976">
        <f t="shared" si="14"/>
        <v>0</v>
      </c>
      <c r="AI19" s="966">
        <f t="shared" si="14"/>
        <v>76</v>
      </c>
      <c r="AJ19" s="966">
        <f t="shared" si="14"/>
        <v>0</v>
      </c>
      <c r="AK19" s="976">
        <f t="shared" si="14"/>
        <v>0</v>
      </c>
      <c r="AL19" s="1030">
        <f>IF(ISNUMBER(NºAsuntos!G19/NºAsuntos!E19),NºAsuntos!G19/NºAsuntos!E19," - ")</f>
        <v>0.84250000000000003</v>
      </c>
      <c r="AM19" s="1031">
        <f>IF(ISNUMBER(((NºAsuntos!I19/NºAsuntos!G19)*11)/factor_trimestre),((NºAsuntos!I19/NºAsuntos!G19)*11)/factor_trimestre," - ")</f>
        <v>6.1068249258160243</v>
      </c>
      <c r="AN19" s="1031">
        <f>IF(ISNUMBER('Resol  Asuntos'!D19/NºAsuntos!G19),'Resol  Asuntos'!D19/NºAsuntos!G19," - ")</f>
        <v>0.22551928783382788</v>
      </c>
      <c r="AO19" s="1032">
        <f>IF(ISNUMBER((NºAsuntos!C19+NºAsuntos!E19)/NºAsuntos!G19),(NºAsuntos!C19+NºAsuntos!E19)/NºAsuntos!G19," - ")</f>
        <v>3.0356083086053411</v>
      </c>
      <c r="AP19" s="1033" t="str">
        <f t="shared" si="2"/>
        <v xml:space="preserve"> - </v>
      </c>
      <c r="AQ19" s="1034">
        <f>IF(OR(ISNUMBER(FIND("01",Criterios!A8,1)),ISNUMBER(FIND("02",Criterios!A8,1)),ISNUMBER(FIND("03",Criterios!A8,1)),ISNUMBER(FIND("04",Criterios!A8,1))),(I19-W19+K19)/(F19-K19),(H19-W19+K19)/(F19-K19))</f>
        <v>-0.7766323024054983</v>
      </c>
      <c r="AR19" s="1035">
        <f>IF(ISNUMBER((Datos!P19-Datos!Q19)/(Datos!R19-Datos!P19+Datos!Q19)),(Datos!P19-Datos!Q19)/(Datos!R19-Datos!P19+Datos!Q19)," - ")</f>
        <v>4.552129221732746E-2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168.00892833418109</v>
      </c>
      <c r="G21" s="257">
        <f>IF(ISNUMBER(STDEV(G8:G18)),STDEV(G8:G18),"-")</f>
        <v>160.07092178156532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119.34320257140747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20.126268075991305</v>
      </c>
      <c r="AJ21" s="256">
        <f t="shared" si="18"/>
        <v>0</v>
      </c>
      <c r="AK21" s="258">
        <f t="shared" si="18"/>
        <v>0</v>
      </c>
      <c r="AL21" s="253">
        <f t="shared" si="18"/>
        <v>0.16216139641293204</v>
      </c>
      <c r="AM21" s="254">
        <f t="shared" si="18"/>
        <v>3.7946907132109859</v>
      </c>
      <c r="AN21" s="254">
        <f t="shared" si="18"/>
        <v>0.16903370714009508</v>
      </c>
      <c r="AO21" s="255">
        <f t="shared" si="18"/>
        <v>1.2648969044036615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eiY6BJIzlV6elTaXucpxlOo8vyAnOM3koJ0brRg6Ew6ZDy5E5OvwXMjN0JKHm0UlHpePmzh+Jea6k8zIxdlAg==" saltValue="RuOiNXHTvKuhhBF2MUsS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SEPULVEDA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-4.4444444444444446E-2</v>
      </c>
      <c r="I12" s="359">
        <f>IF(ISNUMBER((Tasas!C12-Datos!BE12)/Datos!BE12),(Tasas!C12-Datos!BE12)/Datos!BE12," - ")</f>
        <v>0.29562982005141375</v>
      </c>
      <c r="J12" s="358">
        <f>IF(ISNUMBER((Tasas!D12-Datos!BF12)/Datos!BF12),(Tasas!D12-Datos!BF12)/Datos!BF12," - ")</f>
        <v>0.43333333333333318</v>
      </c>
      <c r="K12" s="360">
        <f>IF(ISNUMBER((Tasas!E12-Datos!BG12)/Datos!BG12),(Tasas!E12-Datos!BG12)/Datos!BG12," - ")</f>
        <v>0.21415270018621965</v>
      </c>
      <c r="M12" t="e">
        <f>IF(Monitorios="SI",Datos!CE12,0)</f>
        <v>#REF!</v>
      </c>
      <c r="N12" t="e">
        <f>IF(Monitorios="SI",Datos!CF12,0)</f>
        <v>#REF!</v>
      </c>
      <c r="O12" t="e">
        <f>IF(Monitorios="SI",Datos!CG12,0)</f>
        <v>#REF!</v>
      </c>
      <c r="P12" t="e">
        <f>IF(Monitorios="SI",Datos!CH12,0)</f>
        <v>#REF!</v>
      </c>
      <c r="Q12">
        <f>IF(J_V="SI",0,Datos!AG12)</f>
        <v>11</v>
      </c>
      <c r="R12">
        <f>IF(J_V="SI",0,Datos!AH12)</f>
        <v>6</v>
      </c>
      <c r="S12">
        <f>IF(J_V="SI",0,Datos!AI12)</f>
        <v>7</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-4.4444444444444446E-2</v>
      </c>
      <c r="I13" s="366">
        <f>IF(ISNUMBER((Tasas!C13-Datos!BE13)/Datos!BE13),(Tasas!C13-Datos!BE13)/Datos!BE13," - ")</f>
        <v>0.27594936708860757</v>
      </c>
      <c r="J13" s="364">
        <f>IF(ISNUMBER((Tasas!D13-Datos!BF13)/Datos!BF13),(Tasas!D13-Datos!BF13)/Datos!BF13," - ")</f>
        <v>0.43333333333333318</v>
      </c>
      <c r="K13" s="367">
        <f>IF(ISNUMBER((Tasas!E13-Datos!BG13)/Datos!BG13),(Tasas!E13-Datos!BG13)/Datos!BG13," - ")</f>
        <v>0.20073664825046039</v>
      </c>
      <c r="M13" t="e">
        <f>IF(Monitorios="SI",Datos!CE13,0)</f>
        <v>#REF!</v>
      </c>
      <c r="N13" t="e">
        <f>IF(Monitorios="SI",Datos!CF13,0)</f>
        <v>#REF!</v>
      </c>
      <c r="O13" t="e">
        <f>IF(Monitorios="SI",Datos!CG13,0)</f>
        <v>#REF!</v>
      </c>
      <c r="P13" t="e">
        <f>IF(Monitorios="SI",Datos!CH13,0)</f>
        <v>#REF!</v>
      </c>
      <c r="Q13">
        <f>IF(J_V="SI",0,Datos!AG13)</f>
        <v>11</v>
      </c>
      <c r="R13">
        <f>IF(J_V="SI",0,Datos!AH13)</f>
        <v>6</v>
      </c>
      <c r="S13">
        <f>IF(J_V="SI",0,Datos!AI13)</f>
        <v>7</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3.9285714285714285E-2</v>
      </c>
      <c r="E16" s="357">
        <f>IF(ISNUMBER(
   IF(D_I="SI",(Datos!J16-Datos!T16)/Datos!T16,(Datos!J16+Datos!AD16-(Datos!T16+Datos!AL16))/(Datos!T16+Datos!AL16))
     ),IF(D_I="SI",(Datos!J16-Datos!T16)/Datos!T16,(Datos!J16+Datos!AD16-(Datos!T16+Datos!AL16))/(Datos!T16+Datos!AL16))," - ")</f>
        <v>0.55862068965517242</v>
      </c>
      <c r="F16" s="357">
        <f>IF(ISNUMBER(
   IF(D_I="SI",(Datos!K16-Datos!U16)/Datos!U16,(Datos!K16+Datos!AE16-(Datos!U16+Datos!AM16))/(Datos!U16+Datos!AM16))
     ),IF(D_I="SI",(Datos!K16-Datos!U16)/Datos!U16,(Datos!K16+Datos!AE16-(Datos!U16+Datos!AM16))/(Datos!U16+Datos!AM16))," - ")</f>
        <v>0.2558139534883721</v>
      </c>
      <c r="G16" s="358">
        <f>IF(ISNUMBER(
   IF(D_I="SI",(Datos!L16-Datos!V16)/Datos!V16,(Datos!L16+Datos!AF16-(Datos!V16+Datos!AN16))/(Datos!V16+Datos!AN16))
     ),IF(D_I="SI",(Datos!L16-Datos!V16)/Datos!V16,(Datos!L16+Datos!AF16-(Datos!V16+Datos!AN16))/(Datos!V16+Datos!AN16))," - ")</f>
        <v>0.18972332015810275</v>
      </c>
      <c r="H16" s="234">
        <f>IF(ISNUMBER((Datos!M16-Datos!W16)/Datos!W16),(Datos!M16-Datos!W16)/Datos!W16," - ")</f>
        <v>1.3571428571428572</v>
      </c>
      <c r="I16" s="359">
        <f>IF(ISNUMBER((Tasas!C16-Datos!BE16)/Datos!BE16),(Tasas!C16-Datos!BE16)/Datos!BE16," - ")</f>
        <v>-5.2627726540769929E-2</v>
      </c>
      <c r="J16" s="358">
        <f>IF(ISNUMBER((Tasas!D16-Datos!BF16)/Datos!BF16),(Tasas!D16-Datos!BF16)/Datos!BF16," - ")</f>
        <v>0.87698412698412698</v>
      </c>
      <c r="K16" s="360">
        <f>IF(ISNUMBER((Tasas!E16-Datos!BG16)/Datos!BG16),(Tasas!E16-Datos!BG16)/Datos!BG16," - ")</f>
        <v>-3.1328976034858333E-2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3.8327526132404179E-2</v>
      </c>
      <c r="E18" s="363">
        <f>IF(ISNUMBER(
   IF(D_I="SI",(Datos!J18-Datos!T18)/Datos!T18,(Datos!J18+Datos!AD18-(Datos!T18+Datos!AL18))/(Datos!T18+Datos!AL18))
     ),IF(D_I="SI",(Datos!J18-Datos!T18)/Datos!T18,(Datos!J18+Datos!AD18-(Datos!T18+Datos!AL18))/(Datos!T18+Datos!AL18))," - ")</f>
        <v>0.62758620689655176</v>
      </c>
      <c r="F18" s="363">
        <f>IF(ISNUMBER(
   IF(D_I="SI",(Datos!K18-Datos!U18)/Datos!U18,(Datos!K18+Datos!AE18-(Datos!U18+Datos!AM18))/(Datos!U18+Datos!AM18))
     ),IF(D_I="SI",(Datos!K18-Datos!U18)/Datos!U18,(Datos!K18+Datos!AE18-(Datos!U18+Datos!AM18))/(Datos!U18+Datos!AM18))," - ")</f>
        <v>0.31395348837209303</v>
      </c>
      <c r="G18" s="364">
        <f>IF(ISNUMBER(
   IF(D_I="SI",(Datos!L18-Datos!V18)/Datos!V18,(Datos!L18+Datos!AF18-(Datos!V18+Datos!AN18))/(Datos!V18+Datos!AN18))
     ),IF(D_I="SI",(Datos!L18-Datos!V18)/Datos!V18,(Datos!L18+Datos!AF18-(Datos!V18+Datos!AN18))/(Datos!V18+Datos!AN18))," - ")</f>
        <v>0.18461538461538463</v>
      </c>
      <c r="H18" s="365">
        <f>IF(ISNUMBER((Datos!M18-Datos!W18)/Datos!W18),(Datos!M18-Datos!W18)/Datos!W18," - ")</f>
        <v>1.3571428571428572</v>
      </c>
      <c r="I18" s="366">
        <f>IF(ISNUMBER((Tasas!C18-Datos!BE18)/Datos!BE18),(Tasas!C18-Datos!BE18)/Datos!BE18," - ")</f>
        <v>-9.843430905377816E-2</v>
      </c>
      <c r="J18" s="364">
        <f>IF(ISNUMBER((Tasas!D18-Datos!BF18)/Datos!BF18),(Tasas!D18-Datos!BF18)/Datos!BF18," - ")</f>
        <v>0.79393173198482925</v>
      </c>
      <c r="K18" s="367">
        <f>IF(ISNUMBER((Tasas!E18-Datos!BG18)/Datos!BG18),(Tasas!E18-Datos!BG18)/Datos!BG18," - ")</f>
        <v>-5.9242871189773894E-2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-0.12867132867132866</v>
      </c>
      <c r="E19" s="372">
        <f>IF(ISNUMBER(
   IF(J_V="SI",(Datos!J19-Datos!T19)/Datos!T19,(Datos!J19+Datos!Z19-(Datos!T19+Datos!AH19))/(Datos!T19+Datos!AH19))
     ),IF(J_V="SI",(Datos!J19-Datos!T19)/Datos!T19,(Datos!J19+Datos!Z19-(Datos!T19+Datos!AH19))/(Datos!T19+Datos!AH19))," - ")</f>
        <v>0.53846153846153844</v>
      </c>
      <c r="F19" s="372">
        <f>IF(ISNUMBER(
   IF(J_V="SI",(Datos!K19-Datos!U19)/Datos!U19,(Datos!K19+Datos!AA19-(Datos!U19+Datos!AI19))/(Datos!U19+Datos!AI19))
     ),IF(J_V="SI",(Datos!K19-Datos!U19)/Datos!U19,(Datos!K19+Datos!AA19-(Datos!U19+Datos!AI19))/(Datos!U19+Datos!AI19))," - ")</f>
        <v>5.3124999999999999E-2</v>
      </c>
      <c r="G19" s="373">
        <f>IF(ISNUMBER(
   IF(J_V="SI",(Datos!L19-Datos!V19)/Datos!V19,(Datos!L19+Datos!AB19-(Datos!V19+Datos!AJ19))/(Datos!V19+Datos!AJ19))
     ),IF(J_V="SI",(Datos!L19-Datos!V19)/Datos!V19,(Datos!L19+Datos!AB19-(Datos!V19+Datos!AJ19))/(Datos!V19+Datos!AJ19))," - ")</f>
        <v>4.732824427480916E-2</v>
      </c>
      <c r="H19" s="374">
        <f>IF(ISNUMBER((Datos!M19-Datos!W19)/Datos!W19),(Datos!M19-Datos!W19)/Datos!W19," - ")</f>
        <v>0.28813559322033899</v>
      </c>
      <c r="I19" s="371">
        <f>IF(ISNUMBER((Tasas!C19-Datos!BE19)/Datos!BE19),(Tasas!C19-Datos!BE19)/Datos!BE19," - ")</f>
        <v>-5.504337780596693E-3</v>
      </c>
      <c r="J19" s="372">
        <f>IF(ISNUMBER((Tasas!D19-Datos!BF19)/Datos!BF19),(Tasas!D19-Datos!BF19)/Datos!BF19," - ")</f>
        <v>0.33641059457083178</v>
      </c>
      <c r="K19" s="373">
        <f>IF(ISNUMBER((Tasas!E19-Datos!BG19)/Datos!BG19),(Tasas!E19-Datos!BG19)/Datos!BG19," - ")</f>
        <v>-3.6977858936316247E-3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0.51326180228137563</v>
      </c>
      <c r="E21" s="282">
        <f t="shared" si="1"/>
        <v>4.8765984909417089E-2</v>
      </c>
      <c r="F21" s="282">
        <f t="shared" si="1"/>
        <v>4.1110859371310711E-2</v>
      </c>
      <c r="G21" s="283">
        <f t="shared" si="1"/>
        <v>0.56927285911133185</v>
      </c>
      <c r="H21" s="289">
        <f t="shared" si="1"/>
        <v>0.80920680586418969</v>
      </c>
      <c r="I21" s="281">
        <f t="shared" si="1"/>
        <v>0.20959911403597706</v>
      </c>
      <c r="J21" s="282">
        <f t="shared" si="1"/>
        <v>0.2346295242769483</v>
      </c>
      <c r="K21" s="283">
        <f t="shared" si="1"/>
        <v>0.14646085151098928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qDKvdQGjOfgfExxhzgUYq4gjXiMEAoBeLaKPmq7VxkPXlmHU9RXTLh3SDlxnNlWghvS73BbicPo8DLHfvTQlg==" saltValue="lJJK0jPSVMWssT3FnMRg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